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C:\Users\jeffl\Documents\TappanTechnologies\Clients\FHLBNY\Code\CI\FHC Mod Program Unified eForm\Deliverables\5.0.0\"/>
    </mc:Choice>
  </mc:AlternateContent>
  <xr:revisionPtr revIDLastSave="0" documentId="13_ncr:1_{493A58D0-3B81-46A0-85B5-C7F4CE93FCB1}" xr6:coauthVersionLast="47" xr6:coauthVersionMax="47" xr10:uidLastSave="{00000000-0000-0000-0000-000000000000}"/>
  <workbookProtection workbookAlgorithmName="SHA-512" workbookHashValue="2bR7neHxU5gxMumtshb7/jBxKtgId9Nn4L+Kcy7QMf4JVjVd+r8I6yz1X1eGbmThZctTSO+J8SupSIZiUDYeZg==" workbookSaltValue="uao7lwVbm2L/UKDkdBjCeg==" workbookSpinCount="100000" lockStructure="1"/>
  <bookViews>
    <workbookView showSheetTabs="0" xWindow="-120" yWindow="-120" windowWidth="29040" windowHeight="17790" tabRatio="762" xr2:uid="{00000000-000D-0000-FFFF-FFFF00000000}"/>
  </bookViews>
  <sheets>
    <sheet name="WELCOME" sheetId="11" r:id="rId1"/>
    <sheet name="RES" sheetId="13" r:id="rId2"/>
    <sheet name="DSB" sheetId="21" r:id="rId3"/>
    <sheet name="ADL" sheetId="19" r:id="rId4"/>
    <sheet name="ICW" sheetId="23" r:id="rId5"/>
    <sheet name="MFI_NJ" sheetId="24" r:id="rId6"/>
    <sheet name="MFI_NY" sheetId="25" r:id="rId7"/>
    <sheet name="MFI_PR" sheetId="27" r:id="rId8"/>
    <sheet name="MFI_VI" sheetId="28" r:id="rId9"/>
    <sheet name="Configuration" sheetId="7" state="hidden" r:id="rId10"/>
    <sheet name="$DB.DATA" sheetId="4" state="hidden" r:id="rId11"/>
    <sheet name="$DB.LOOKUP" sheetId="2" state="hidden" r:id="rId12"/>
    <sheet name="$DB.LOOKUP.ICW" sheetId="22" state="hidden" r:id="rId13"/>
    <sheet name="$DB.CONFIG" sheetId="3" state="hidden" r:id="rId14"/>
    <sheet name="$DB.EXPORT.XREF" sheetId="18" state="hidden" r:id="rId15"/>
    <sheet name="$DB.EXPORT.RES" sheetId="5" state="hidden" r:id="rId16"/>
    <sheet name="$DB.EXPORT.DSB" sheetId="20" state="hidden" r:id="rId17"/>
    <sheet name="$DB.EXPORT.ADL" sheetId="17" state="hidden" r:id="rId18"/>
  </sheets>
  <externalReferences>
    <externalReference r:id="rId19"/>
  </externalReferences>
  <definedNames>
    <definedName name="_xlnm._FilterDatabase" localSheetId="11" hidden="1">'$DB.LOOKUP'!$Q$2:$R$2</definedName>
    <definedName name="CONFIG_CHAR_LIMIT_TEMPLATE">'$DB.CONFIG'!$D$34</definedName>
    <definedName name="CONFIG_CHAR_LIMIT_TEMPLATE_ERR">'$DB.CONFIG'!$D$35</definedName>
    <definedName name="CONFIG_COUNSEL_AMT_MAX">'$DB.CONFIG'!$D$24</definedName>
    <definedName name="CONFIG_COUNSEL_DATE_AGE_MAX">'$DB.CONFIG'!$D$25</definedName>
    <definedName name="CONFIG_DOC_ID">'$DB.CONFIG'!$D$13</definedName>
    <definedName name="CONFIG_DOC_TITLE">'$DB.CONFIG'!$D$19</definedName>
    <definedName name="CONFIG_DTI_THRESH_AFFORDABILITY">'$DB.CONFIG'!$D$32</definedName>
    <definedName name="CONFIG_EFORM_DOC_ID_NAME">'$DB.CONFIG'!$D$14</definedName>
    <definedName name="CONFIG_EFORM_VERSION_NO_MAJ">'$DB.CONFIG'!$D$6</definedName>
    <definedName name="CONFIG_EFORM_VERSION_NO_REV">'$DB.CONFIG'!$D$7</definedName>
    <definedName name="CONFIG_EFORMN_VERSION_NO">'$DB.CONFIG'!$D$8</definedName>
    <definedName name="CONFIG_ENROLL_PERD_DESC">'$DB.CONFIG'!$D$27</definedName>
    <definedName name="CONFIG_ENROLL_PERD_ID">'$DB.CONFIG'!$D$26</definedName>
    <definedName name="CONFIG_FHC_PROG_ID">'$DB.CONFIG'!$D$9</definedName>
    <definedName name="CONFIG_GRANT_AMT_MAX">'$DB.CONFIG'!$D$23</definedName>
    <definedName name="CONFIG_HOUSEHOLD_ID_CURR">'$DB.CONFIG'!$D$12</definedName>
    <definedName name="CONFIG_ICW_ZEROINCOME_DOC_ID">'$DB.CONFIG'!$D$10</definedName>
    <definedName name="CONFIG_MAX_DTI_BE_RATIO">'$DB.CONFIG'!$D$31</definedName>
    <definedName name="CONFIG_MAX_DTI_FE_RATIO">'$DB.CONFIG'!$D$30</definedName>
    <definedName name="CONFIG_MAX_LTV_RATIO">'$DB.CONFIG'!$D$29</definedName>
    <definedName name="CONFIG_MFI_PERCENTAGE">'$DB.CONFIG'!$D$33</definedName>
    <definedName name="CONFIG_MIN_HOUSEHOLD_CONTRIB_AMT">'$DB.CONFIG'!$D$28</definedName>
    <definedName name="CONFIG_MIN_HOUSEHOLD_ID_CURR">'$DB.CONFIG'!$D$12</definedName>
    <definedName name="CONFIG_MIN_HOUSEHOLD_ID_LEGACY">'$DB.CONFIG'!$D$11</definedName>
    <definedName name="CONFIG_SA_PROGRAM_NAME">'$DB.CONFIG'!$D$18</definedName>
    <definedName name="CONFIG_TRADEMARK_ID">'$DB.CONFIG'!$D$48</definedName>
    <definedName name="COUNSELING_AGENCY_NAME_OTHER">'$DB.LOOKUP'!$AE$140</definedName>
    <definedName name="COUNTY_LIST_ALLUSA">'$DB.LOOKUP'!$Q$3:$Q$3224</definedName>
    <definedName name="COUNTY_RANGE_">'$DB.LOOKUP'!$R$1</definedName>
    <definedName name="COUNTY_RANGE_AK">'$DB.LOOKUP'!$Q$70:$Q$94</definedName>
    <definedName name="COUNTY_RANGE_AL">'$DB.LOOKUP'!$Q$3:$Q$69</definedName>
    <definedName name="COUNTY_RANGE_AR">'$DB.LOOKUP'!$Q$110:$Q$184</definedName>
    <definedName name="COUNTY_RANGE_AZ">'$DB.LOOKUP'!$Q$95:$Q$109</definedName>
    <definedName name="COUNTY_RANGE_CA">'$DB.LOOKUP'!$Q$185:$Q$242</definedName>
    <definedName name="COUNTY_RANGE_CO">'$DB.LOOKUP'!$Q$243:$Q$305</definedName>
    <definedName name="COUNTY_RANGE_CT">'$DB.LOOKUP'!$Q$306:$Q$313</definedName>
    <definedName name="COUNTY_RANGE_DC">'$DB.LOOKUP'!$Q$317</definedName>
    <definedName name="COUNTY_RANGE_DE">'$DB.LOOKUP'!$Q$314:$Q$316</definedName>
    <definedName name="COUNTY_RANGE_FL">'$DB.LOOKUP'!$Q$318:$Q$384</definedName>
    <definedName name="COUNTY_RANGE_GA">'$DB.LOOKUP'!$Q$385:$Q$543</definedName>
    <definedName name="COUNTY_RANGE_HI">'$DB.LOOKUP'!$Q$544:$Q$548</definedName>
    <definedName name="COUNTY_RANGE_IA">'$DB.LOOKUP'!$Q$787:$Q$885</definedName>
    <definedName name="COUNTY_RANGE_ID">'$DB.LOOKUP'!$Q$549:$Q$592</definedName>
    <definedName name="COUNTY_RANGE_IL">'$DB.LOOKUP'!$Q$593:$Q$694</definedName>
    <definedName name="COUNTY_RANGE_IN">'$DB.LOOKUP'!$Q$695:$Q$786</definedName>
    <definedName name="COUNTY_RANGE_KS">'$DB.LOOKUP'!$Q$886:$Q$990</definedName>
    <definedName name="COUNTY_RANGE_KY">'$DB.LOOKUP'!$Q$991:$Q$1110</definedName>
    <definedName name="COUNTY_RANGE_LA">'$DB.LOOKUP'!$Q$1111:$Q$1174</definedName>
    <definedName name="COUNTY_RANGE_MA">'$DB.LOOKUP'!$Q$1215:$Q$1228</definedName>
    <definedName name="COUNTY_RANGE_MD">'$DB.LOOKUP'!$Q$1191:$Q$1214</definedName>
    <definedName name="COUNTY_RANGE_ME">'$DB.LOOKUP'!$Q$1175:$Q$1190</definedName>
    <definedName name="COUNTY_RANGE_MI">'$DB.LOOKUP'!$Q$1229:$Q$1311</definedName>
    <definedName name="COUNTY_RANGE_MN">'$DB.LOOKUP'!$Q$1312:$Q$1398</definedName>
    <definedName name="COUNTY_RANGE_MO">'$DB.LOOKUP'!$Q$1481:$Q$1595</definedName>
    <definedName name="COUNTY_RANGE_MS">'$DB.LOOKUP'!$Q$1399:$Q$1480</definedName>
    <definedName name="COUNTY_RANGE_MT">'$DB.LOOKUP'!$Q$1596:$Q$1652</definedName>
    <definedName name="COUNTY_RANGE_NC">'$DB.LOOKUP'!$Q$1889:$Q$1988</definedName>
    <definedName name="COUNTY_RANGE_ND">'$DB.LOOKUP'!$Q$1989:$Q$2041</definedName>
    <definedName name="COUNTY_RANGE_NE">'$DB.LOOKUP'!$Q$1653:$Q$1745</definedName>
    <definedName name="COUNTY_RANGE_NH">'$DB.LOOKUP'!$Q$1763:$Q$1772</definedName>
    <definedName name="COUNTY_RANGE_NJ">'$DB.LOOKUP'!$Q$1773:$Q$1793</definedName>
    <definedName name="COUNTY_RANGE_NM">'$DB.LOOKUP'!$Q$1794:$Q$1826</definedName>
    <definedName name="COUNTY_RANGE_NV">'$DB.LOOKUP'!$Q$1746:$Q$1762</definedName>
    <definedName name="COUNTY_RANGE_NY">'$DB.LOOKUP'!$Q$1827:$Q$1888</definedName>
    <definedName name="COUNTY_RANGE_OH">'$DB.LOOKUP'!$Q$2042:$Q$2129</definedName>
    <definedName name="COUNTY_RANGE_OK">'$DB.LOOKUP'!$Q$2130:$Q$2206</definedName>
    <definedName name="COUNTY_RANGE_OR">'$DB.LOOKUP'!$Q$2207:$Q$2242</definedName>
    <definedName name="COUNTY_RANGE_PA">'$DB.LOOKUP'!$Q$2243:$Q$2309</definedName>
    <definedName name="COUNTY_RANGE_PR">'$DB.LOOKUP'!$Q$3144:$Q$3221</definedName>
    <definedName name="COUNTY_RANGE_RI">'$DB.LOOKUP'!$Q$2310:$Q$2314</definedName>
    <definedName name="COUNTY_RANGE_SC">'$DB.LOOKUP'!$Q$2315:$Q$2360</definedName>
    <definedName name="COUNTY_RANGE_SD">'$DB.LOOKUP'!$Q$2361:$Q$2426</definedName>
    <definedName name="COUNTY_RANGE_TN">'$DB.LOOKUP'!$Q$2427:$Q$2521</definedName>
    <definedName name="COUNTY_RANGE_TX">'$DB.LOOKUP'!$Q$2522:$Q$2775</definedName>
    <definedName name="COUNTY_RANGE_UT">'$DB.LOOKUP'!$Q$2776:$Q$2804</definedName>
    <definedName name="COUNTY_RANGE_VA">'$DB.LOOKUP'!$Q$2819:$Q$2954</definedName>
    <definedName name="COUNTY_RANGE_VI">'$DB.LOOKUP'!$Q$3222:$Q$3224</definedName>
    <definedName name="COUNTY_RANGE_VT">'$DB.LOOKUP'!$Q$2805:$Q$2818</definedName>
    <definedName name="COUNTY_RANGE_WA">'$DB.LOOKUP'!$Q$2955:$Q$2993</definedName>
    <definedName name="COUNTY_RANGE_WI">'$DB.LOOKUP'!$Q$3049:$Q$3120</definedName>
    <definedName name="COUNTY_RANGE_WV">'$DB.LOOKUP'!$Q$2994:$Q$3048</definedName>
    <definedName name="COUNTY_RANGE_WY">'$DB.LOOKUP'!$Q$3121:$Q$3143</definedName>
    <definedName name="DATA_ADL_DESCRIPTION">'$DB.DATA'!$G$79</definedName>
    <definedName name="DATA_ADL_ICW_COMPLETION_DATE">'$DB.DATA'!$G$81</definedName>
    <definedName name="DATA_ADL_ICW_FLAG">'$DB.DATA'!$G$80</definedName>
    <definedName name="DATA_APP_PROGRESS_ERROR_COUNT">'$DB.DATA'!$G$6</definedName>
    <definedName name="DATA_APP_PROGRESS_PCT_COMPLETE">'$DB.DATA'!$G$7</definedName>
    <definedName name="DATA_CNSLNG_COMPLETE_DATE">'$DB.DATA'!$G$78</definedName>
    <definedName name="DATA_CO_BORW_STARTED_FLAG">'$DB.DATA'!$G$35</definedName>
    <definedName name="DATA_DISBURSEMENT_DATE">'$DB.DATA'!$G$84</definedName>
    <definedName name="DATA_EFORM_COMPLETE_FLAG">'$DB.DATA'!$G$9</definedName>
    <definedName name="DATA_EFORM_TYPE_CODE">'$DB.DATA'!$G$11</definedName>
    <definedName name="DATA_EXPLANATION_OF_AFFORDABILITY_REQ_FLAG">'$DB.DATA'!$E$87</definedName>
    <definedName name="DATA_FAMILY_SIZE_NO">'$DB.DATA'!$G$70</definedName>
    <definedName name="DATA_FHA_LETTER_REQ_FLAG">'$DB.DATA'!$G$52</definedName>
    <definedName name="DATA_FHC_ENROLLED_FLAG">'$DB.DATA'!$G$21</definedName>
    <definedName name="DATA_FIRST_MTG_LOAN_AMT">'$DB.DATA'!$G$91</definedName>
    <definedName name="DATA_FIRST_MTG_LOAN_TYPE">'$DB.DATA'!$G$94</definedName>
    <definedName name="DATA_FIRST_TIME_HOMEBUYER_FLAG">'$DB.DATA'!$G$23</definedName>
    <definedName name="DATA_HOUSING_EXP_INC_RATIO">'$DB.DATA'!$G$85</definedName>
    <definedName name="DATA_HSEHLD_ADDR">'$DB.DATA'!$G$42</definedName>
    <definedName name="DATA_HSEHLD_BANNER">'$DB.DATA'!$G$83</definedName>
    <definedName name="DATA_HSEHLD_CONTRIBUTION_AMT">'$DB.DATA'!$G$89</definedName>
    <definedName name="DATA_HSEHLD_INC_AMT">'$DB.DATA'!$G$73</definedName>
    <definedName name="DATA_HSEHLD_INC_PCT_MFI">'$DB.DATA'!$G$74</definedName>
    <definedName name="DATA_HSEHLD_NO">'$DB.DATA'!$G$82</definedName>
    <definedName name="DATA_ICW_COMPLETE_FLAG">'$DB.DATA'!$G$67</definedName>
    <definedName name="DATA_INC_AREA_NAME">'$DB.DATA'!$G$71</definedName>
    <definedName name="DATA_INC_GUIDLN_CODE">'$DB.DATA'!$G$69</definedName>
    <definedName name="DATA_LTV">'$DB.DATA'!$G$88</definedName>
    <definedName name="DATA_MAX_ALLOWABLE_INCOME">'$DB.DATA'!$G$72</definedName>
    <definedName name="DATA_MEMBER_CERTIFICATION_DATE">'$DB.DATA'!$G$18</definedName>
    <definedName name="DATA_MEMBER_NAME">'$DB.DATA'!$G$12</definedName>
    <definedName name="DATA_NONPROF_AGCY_NAME_OTHER">'$DB.DATA'!$G$76</definedName>
    <definedName name="DATA_NONPROF_AGCY_NAME_OTHER_REQUIRED">'$DB.DATA'!$E$76</definedName>
    <definedName name="DATA_NONPROF_AGCY_NAME_SELECT">'$DB.DATA'!$G$75</definedName>
    <definedName name="DATA_OTHER_FHLB_GRANT_FLAG">'$DB.DATA'!$G$109</definedName>
    <definedName name="DATA_OTHER_NON_FHLB_GRANT_FLAG">'$DB.DATA'!$G$100</definedName>
    <definedName name="DATA_PRIM_BORW_FULL_NAME">'$DB.DATA'!$G$27</definedName>
    <definedName name="DATA_PRIMARY_RESIDENCE_FLAG">'$DB.DATA'!$G$62</definedName>
    <definedName name="DATA_PROPTY_ADDR">'$DB.DATA'!$G$53</definedName>
    <definedName name="DATA_PROPTY_ADDRESS_UNIFIED">'$DB.DATA'!$G$58</definedName>
    <definedName name="DATA_PROPTY_BLDG_TYPE_UI">'$DB.DATA'!$G$64</definedName>
    <definedName name="DATA_PROPTY_CNTY_NAME">'$DB.DATA'!$G$57</definedName>
    <definedName name="DATA_PROPTY_STATE_CODE">'$DB.DATA'!$G$55</definedName>
    <definedName name="DATA_PROPTY_ZIP_CODE">'$DB.DATA'!$G$56</definedName>
    <definedName name="DATA_RESERVATION_DATE">'$DB.DATA'!$G$13</definedName>
    <definedName name="DATA_SECOND_MTG_FLAG">'$DB.DATA'!$G$96</definedName>
    <definedName name="DATA_THRD_BORW_STARTED_FLAG">'$DB.DATA'!$G$41</definedName>
    <definedName name="DATA_TOTAL_DEBT_INC_RATIO">'$DB.DATA'!$G$86</definedName>
    <definedName name="EFORM_TYPE_CODE_ADDLDOC">'$DB.LOOKUP'!$A$4</definedName>
    <definedName name="EFORM_TYPE_CODE_DISBURSEMENT">'$DB.LOOKUP'!$A$5</definedName>
    <definedName name="EFORM_TYPE_CODE_RESERVATION">'$DB.LOOKUP'!$A$3</definedName>
    <definedName name="HOUSEHOLD_NUM_ADULTS">ICW!$J$9</definedName>
    <definedName name="HOUSEHOLD_NUM_CHILDREN">ICW!$K$9</definedName>
    <definedName name="ICW_HOUSEHOLD_SIZE">ICW!$L$9</definedName>
    <definedName name="ICW_TOTAL_INCOME">ICW!$M$9</definedName>
    <definedName name="INCOME_SUBTOTAL_A1">ICW!$M$54</definedName>
    <definedName name="INCOME_SUBTOTAL_A2">ICW!$M$64</definedName>
    <definedName name="INCOME_SUBTOTAL_A3">ICW!$M$75</definedName>
    <definedName name="INCOME_SUBTOTAL_B">ICW!$M$88</definedName>
    <definedName name="INCOME_SUBTOTAL_C">ICW!$M$100</definedName>
    <definedName name="INCOME_SUBTOTAL_D">ICW!$M$112</definedName>
    <definedName name="INCOME_SUBTOTAL_E">ICW!$M$125</definedName>
    <definedName name="INCOME_SUBTOTAL_F">ICW!$M$136</definedName>
    <definedName name="LAST_REVISION_DATE">'$DB.LOOKUP.ICW'!#REF!</definedName>
    <definedName name="LOOKUP_AMI_TABLE">Configuration!$C$42:$Y$205</definedName>
    <definedName name="MFI_MAX_PCT">'[1]$DB.CONFIG'!$D$9</definedName>
    <definedName name="MTG_TYPE_FIXED">'$DB.LOOKUP'!$AA$3</definedName>
    <definedName name="MTG_TYPE_VARIABLE">'$DB.LOOKUP'!$AA$4</definedName>
    <definedName name="_xlnm.Print_Area" localSheetId="3">ADL!$H$1:$Y$92</definedName>
    <definedName name="_xlnm.Print_Area" localSheetId="9">Configuration!$C$1:$Z$218</definedName>
    <definedName name="_xlnm.Print_Area" localSheetId="2">DSB!$H$1:$Y$121</definedName>
    <definedName name="_xlnm.Print_Area" localSheetId="4">ICW!$C$1:$N$149</definedName>
    <definedName name="_xlnm.Print_Area" localSheetId="5">MFI_NJ!$A$1:$Y$35</definedName>
    <definedName name="_xlnm.Print_Area" localSheetId="6">MFI_NY!$A$1:$Y$70</definedName>
    <definedName name="_xlnm.Print_Area" localSheetId="7">MFI_PR!$A$1:$Y$93</definedName>
    <definedName name="_xlnm.Print_Area" localSheetId="8">MFI_VI!$A$1:$Y$18</definedName>
    <definedName name="_xlnm.Print_Area" localSheetId="1">RES!$H$1:$Y$124</definedName>
    <definedName name="_xlnm.Print_Area" localSheetId="0">WELCOME!$C$1:$G$16</definedName>
    <definedName name="_xlnm.Print_Titles" localSheetId="9">Configuration!$1:$3</definedName>
    <definedName name="_xlnm.Print_Titles" localSheetId="4">ICW!$4:$4</definedName>
    <definedName name="_xlnm.Print_Titles" localSheetId="6">MFI_NY!$6:$7</definedName>
    <definedName name="_xlnm.Print_Titles" localSheetId="7">MFI_PR!$6:$7</definedName>
    <definedName name="_xlnm.Print_Titles" localSheetId="8">MFI_VI!$6:$7</definedName>
    <definedName name="RANGE_LOOKUP_CHILDSUPPORT_PYMT_FREQ">'$DB.LOOKUP.ICW'!$C$3:$C$6</definedName>
    <definedName name="RANGE_LOOKUP_COUNSELING_AGENCIES">'$DB.LOOKUP'!$AE$3:$AE$140</definedName>
    <definedName name="RANGE_LOOKUP_COUNTY_PLACEHOLDER">'$DB.LOOKUP'!$U$3</definedName>
    <definedName name="RANGE_LOOKUP_DEPENDENTS">'$DB.LOOKUP.ICW'!$J$3:$J$6</definedName>
    <definedName name="RANGE_LOOKUP_EFORM_TYPE" localSheetId="16">DB_TBL_LOOKUP_EFORM_TYPE[LOOKUP_CODE]</definedName>
    <definedName name="RANGE_LOOKUP_EFORM_TYPE" localSheetId="14">DB_TBL_LOOKUP_EFORM_TYPE[LOOKUP_CODE]</definedName>
    <definedName name="RANGE_LOOKUP_EFORM_TYPE" localSheetId="3">DB_TBL_LOOKUP_EFORM_TYPE[LOOKUP_CODE]</definedName>
    <definedName name="RANGE_LOOKUP_EFORM_TYPE" localSheetId="2">DB_TBL_LOOKUP_EFORM_TYPE[LOOKUP_CODE]</definedName>
    <definedName name="RANGE_LOOKUP_EFORM_TYPE">DB_TBL_LOOKUP_EFORM_TYPE[LOOKUP_CODE]</definedName>
    <definedName name="RANGE_LOOKUP_INC_GUIDLN_CODE">'$DB.LOOKUP'!$E$3:$E$6</definedName>
    <definedName name="RANGE_LOOKUP_MARITALSTATUS">'$DB.LOOKUP'!$Y$3:$Y$7</definedName>
    <definedName name="RANGE_LOOKUP_MEMBERLIST">'$DB.LOOKUP.ICW'!#REF!</definedName>
    <definedName name="RANGE_LOOKUP_MTG_TYPE">'$DB.LOOKUP'!$AA$3:$AA$4</definedName>
    <definedName name="RANGE_LOOKUP_PAYSTUBS_PER_YEAR">'$DB.LOOKUP.ICW'!$A$3:$A$6</definedName>
    <definedName name="RANGE_LOOKUP_PREFIX">'$DB.LOOKUP'!$W$3:$W$5</definedName>
    <definedName name="RANGE_LOOKUP_PROPTY_BLDG_TYPE_CICODE">'$DB.LOOKUP'!$O$3:$O$6</definedName>
    <definedName name="RANGE_LOOKUP_PROPTY_BLDG_TYPE_UI">'$DB.LOOKUP'!$N$3:$N$6</definedName>
    <definedName name="RANGE_LOOKUP_SECTD_INCOMESOURCE">'$DB.LOOKUP.ICW'!$F$3:$F$6</definedName>
    <definedName name="RANGE_LOOKUP_SECTE_INCOMESOURCE">'$DB.LOOKUP.ICW'!$H$3:$H$7</definedName>
    <definedName name="RANGE_LOOKUP_STATE">'$DB.LOOKUP'!$D$3:$D$6</definedName>
    <definedName name="RANGE_LOOKUP_STATE_ALLSTATES">'$DB.LOOKUP'!$AC$3:$AC$55</definedName>
    <definedName name="RANGE_LOOKUP_YESNO">'$DB.LOOKUP'!$H$3:$H$4</definedName>
    <definedName name="RANGE_LOOKUP_YESNONA">'$DB.LOOKUP'!$J$3:$J$5</definedName>
    <definedName name="SA_PROGRAM_NAME">'$DB.CONFIG'!$D$18</definedName>
    <definedName name="STATE_CODE_NJ">'$DB.LOOKUP'!$D$3</definedName>
    <definedName name="STATE_CODE_NY">'$DB.LOOKUP'!$D$4</definedName>
    <definedName name="STATE_CODE_PR">'$DB.LOOKUP'!$D$5</definedName>
    <definedName name="STATE_CODE_VI">'$DB.LOOKUP'!$D$6</definedName>
    <definedName name="TARGET_ADL_1">ADL!$I$23</definedName>
    <definedName name="TARGET_ADL_2">ADL!$I$28</definedName>
    <definedName name="TARGET_ADL_3">ADL!$I$87</definedName>
    <definedName name="TARGET_ADL_ICW_BOOKMARK">ADL!$H$56</definedName>
    <definedName name="TARGET_ADL_TOP">ADL!$H$5</definedName>
    <definedName name="TARGET_CONFIG_TOP">Configuration!$C$3</definedName>
    <definedName name="TARGET_DISB_5">DSB!$W$74</definedName>
    <definedName name="TARGET_DISB_6">DSB!$I$116</definedName>
    <definedName name="TARGET_DSB_1">DSB!$I$24</definedName>
    <definedName name="TARGET_DSB_2">DSB!$I$29</definedName>
    <definedName name="TARGET_DSB_3">DSB!$U$34</definedName>
    <definedName name="TARGET_DSB_4">DSB!$I$48</definedName>
    <definedName name="TARGET_DSB_TOP">DSB!$H$5</definedName>
    <definedName name="TARGET_RES_1">RES!$I$24</definedName>
    <definedName name="TARGET_RES_2">RES!$W$29</definedName>
    <definedName name="TARGET_RES_3">RES!$U$48</definedName>
    <definedName name="TARGET_RES_4">RES!$I$60</definedName>
    <definedName name="TARGET_RES_5">RES!$I$72</definedName>
    <definedName name="TARGET_RES_6">RES!$I$119</definedName>
    <definedName name="TARGET_RES_ICW_BOOKMARK">RES!$H$82</definedName>
    <definedName name="TARGET_RESERVATION_TOP">RES!$H$5</definedName>
    <definedName name="TARGET_TOP_ICW">ICW!$C$15</definedName>
    <definedName name="TARGET_TOP_MFI_NJ">MFI_NJ!$C$8</definedName>
    <definedName name="TARGET_TOP_MFI_NY">MFI_NY!$C$8</definedName>
    <definedName name="TARGET_TOP_MFI_PR">MFI_PR!$C$8</definedName>
    <definedName name="TARGET_TOP_MFI_VI">MFI_VI!$C$8</definedName>
    <definedName name="TARGET_WELCOME_TOP">WELCOME!$E$12</definedName>
    <definedName name="THRD_BORW_STARTED_FLAG">'$DB.DATA'!$G$41</definedName>
    <definedName name="WELCOME_SELECTION_EFORM_DESC">WELCOME!$B$5</definedName>
    <definedName name="WELCOME_SELECTION_EFORM_TYPE">WELCOME!$B$3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87" i="13" l="1"/>
  <c r="B92" i="13"/>
  <c r="J10" i="28"/>
  <c r="K10" i="28"/>
  <c r="L10" i="28"/>
  <c r="K8" i="28"/>
  <c r="L8" i="28"/>
  <c r="B9" i="28"/>
  <c r="E9" i="28" s="1"/>
  <c r="B10" i="28"/>
  <c r="E10" i="28" s="1"/>
  <c r="B8" i="28"/>
  <c r="F8" i="28" s="1"/>
  <c r="D4" i="28"/>
  <c r="B9" i="27"/>
  <c r="B10" i="27"/>
  <c r="B11" i="27"/>
  <c r="B12" i="27"/>
  <c r="B13" i="27"/>
  <c r="B14" i="27"/>
  <c r="B15" i="27"/>
  <c r="B16" i="27"/>
  <c r="B17" i="27"/>
  <c r="B18" i="27"/>
  <c r="B19" i="27"/>
  <c r="B20" i="27"/>
  <c r="B21" i="27"/>
  <c r="B22" i="27"/>
  <c r="B23" i="27"/>
  <c r="B24" i="27"/>
  <c r="F24" i="27" s="1"/>
  <c r="E24" i="27" s="1"/>
  <c r="B25" i="27"/>
  <c r="B26" i="27"/>
  <c r="B27" i="27"/>
  <c r="B28" i="27"/>
  <c r="B29" i="27"/>
  <c r="B30" i="27"/>
  <c r="B31" i="27"/>
  <c r="B32" i="27"/>
  <c r="H32" i="27" s="1"/>
  <c r="G32" i="27" s="1"/>
  <c r="B33" i="27"/>
  <c r="B34" i="27"/>
  <c r="B35" i="27"/>
  <c r="B36" i="27"/>
  <c r="B37" i="27"/>
  <c r="B38" i="27"/>
  <c r="B39" i="27"/>
  <c r="B40" i="27"/>
  <c r="F40" i="27" s="1"/>
  <c r="E40" i="27" s="1"/>
  <c r="B41" i="27"/>
  <c r="B42" i="27"/>
  <c r="B43" i="27"/>
  <c r="B44" i="27"/>
  <c r="B45" i="27"/>
  <c r="B46" i="27"/>
  <c r="B47" i="27"/>
  <c r="B48" i="27"/>
  <c r="H48" i="27" s="1"/>
  <c r="G48" i="27" s="1"/>
  <c r="B49" i="27"/>
  <c r="B50" i="27"/>
  <c r="B51" i="27"/>
  <c r="B52" i="27"/>
  <c r="B53" i="27"/>
  <c r="F53" i="27" s="1"/>
  <c r="E53" i="27" s="1"/>
  <c r="B54" i="27"/>
  <c r="B55" i="27"/>
  <c r="B56" i="27"/>
  <c r="F56" i="27" s="1"/>
  <c r="E56" i="27" s="1"/>
  <c r="B57" i="27"/>
  <c r="B58" i="27"/>
  <c r="B59" i="27"/>
  <c r="B60" i="27"/>
  <c r="B61" i="27"/>
  <c r="B62" i="27"/>
  <c r="B63" i="27"/>
  <c r="B64" i="27"/>
  <c r="F64" i="27" s="1"/>
  <c r="E64" i="27" s="1"/>
  <c r="B65" i="27"/>
  <c r="H65" i="27" s="1"/>
  <c r="G65" i="27" s="1"/>
  <c r="B66" i="27"/>
  <c r="B67" i="27"/>
  <c r="B68" i="27"/>
  <c r="B69" i="27"/>
  <c r="B70" i="27"/>
  <c r="B71" i="27"/>
  <c r="B72" i="27"/>
  <c r="F72" i="27" s="1"/>
  <c r="E72" i="27" s="1"/>
  <c r="B73" i="27"/>
  <c r="F73" i="27" s="1"/>
  <c r="E73" i="27" s="1"/>
  <c r="B74" i="27"/>
  <c r="B75" i="27"/>
  <c r="B76" i="27"/>
  <c r="B77" i="27"/>
  <c r="F77" i="27" s="1"/>
  <c r="E77" i="27" s="1"/>
  <c r="B78" i="27"/>
  <c r="B79" i="27"/>
  <c r="B80" i="27"/>
  <c r="F80" i="27" s="1"/>
  <c r="E80" i="27" s="1"/>
  <c r="B81" i="27"/>
  <c r="F81" i="27" s="1"/>
  <c r="E81" i="27" s="1"/>
  <c r="B82" i="27"/>
  <c r="B83" i="27"/>
  <c r="B84" i="27"/>
  <c r="B85" i="27"/>
  <c r="F85" i="27" s="1"/>
  <c r="E85" i="27" s="1"/>
  <c r="B8" i="27"/>
  <c r="F8" i="27" s="1"/>
  <c r="E8" i="27" s="1"/>
  <c r="F70" i="27"/>
  <c r="E70" i="27" s="1"/>
  <c r="H70" i="27"/>
  <c r="G70" i="27" s="1"/>
  <c r="F71" i="27"/>
  <c r="E71" i="27" s="1"/>
  <c r="H71" i="27"/>
  <c r="G71" i="27" s="1"/>
  <c r="F74" i="27"/>
  <c r="E74" i="27" s="1"/>
  <c r="H74" i="27"/>
  <c r="G74" i="27" s="1"/>
  <c r="F75" i="27"/>
  <c r="E75" i="27" s="1"/>
  <c r="H75" i="27"/>
  <c r="G75" i="27" s="1"/>
  <c r="F76" i="27"/>
  <c r="E76" i="27" s="1"/>
  <c r="H76" i="27"/>
  <c r="G76" i="27" s="1"/>
  <c r="F78" i="27"/>
  <c r="E78" i="27" s="1"/>
  <c r="H78" i="27"/>
  <c r="G78" i="27" s="1"/>
  <c r="F79" i="27"/>
  <c r="E79" i="27" s="1"/>
  <c r="H79" i="27"/>
  <c r="G79" i="27" s="1"/>
  <c r="F82" i="27"/>
  <c r="E82" i="27" s="1"/>
  <c r="H82" i="27"/>
  <c r="G82" i="27" s="1"/>
  <c r="F83" i="27"/>
  <c r="E83" i="27" s="1"/>
  <c r="H83" i="27"/>
  <c r="G83" i="27" s="1"/>
  <c r="F84" i="27"/>
  <c r="E84" i="27" s="1"/>
  <c r="H84" i="27"/>
  <c r="G84" i="27" s="1"/>
  <c r="H16" i="27"/>
  <c r="G16" i="27" s="1"/>
  <c r="H58" i="27"/>
  <c r="G58" i="27" s="1"/>
  <c r="F66" i="27"/>
  <c r="E66" i="27" s="1"/>
  <c r="F69" i="27"/>
  <c r="E69" i="27" s="1"/>
  <c r="D4" i="27"/>
  <c r="H69" i="27"/>
  <c r="G69" i="27" s="1"/>
  <c r="H68" i="27"/>
  <c r="G68" i="27" s="1"/>
  <c r="H67" i="27"/>
  <c r="G67" i="27" s="1"/>
  <c r="H66" i="27"/>
  <c r="G66" i="27" s="1"/>
  <c r="F63" i="27"/>
  <c r="E63" i="27" s="1"/>
  <c r="H63" i="27"/>
  <c r="G63" i="27" s="1"/>
  <c r="H62" i="27"/>
  <c r="G62" i="27" s="1"/>
  <c r="F61" i="27"/>
  <c r="E61" i="27" s="1"/>
  <c r="H60" i="27"/>
  <c r="G60" i="27" s="1"/>
  <c r="H59" i="27"/>
  <c r="G59" i="27" s="1"/>
  <c r="H57" i="27"/>
  <c r="G57" i="27" s="1"/>
  <c r="F55" i="27"/>
  <c r="E55" i="27" s="1"/>
  <c r="H55" i="27"/>
  <c r="G55" i="27" s="1"/>
  <c r="H54" i="27"/>
  <c r="G54" i="27" s="1"/>
  <c r="F52" i="27"/>
  <c r="E52" i="27" s="1"/>
  <c r="H52" i="27"/>
  <c r="G52" i="27" s="1"/>
  <c r="H51" i="27"/>
  <c r="G51" i="27" s="1"/>
  <c r="H50" i="27"/>
  <c r="G50" i="27" s="1"/>
  <c r="H49" i="27"/>
  <c r="G49" i="27" s="1"/>
  <c r="H47" i="27"/>
  <c r="G47" i="27" s="1"/>
  <c r="H46" i="27"/>
  <c r="G46" i="27" s="1"/>
  <c r="H45" i="27"/>
  <c r="G45" i="27" s="1"/>
  <c r="F45" i="27"/>
  <c r="E45" i="27" s="1"/>
  <c r="H44" i="27"/>
  <c r="G44" i="27" s="1"/>
  <c r="H43" i="27"/>
  <c r="G43" i="27" s="1"/>
  <c r="F42" i="27"/>
  <c r="E42" i="27" s="1"/>
  <c r="H42" i="27"/>
  <c r="G42" i="27" s="1"/>
  <c r="H41" i="27"/>
  <c r="G41" i="27" s="1"/>
  <c r="F39" i="27"/>
  <c r="E39" i="27" s="1"/>
  <c r="H38" i="27"/>
  <c r="G38" i="27" s="1"/>
  <c r="H37" i="27"/>
  <c r="G37" i="27" s="1"/>
  <c r="F37" i="27"/>
  <c r="E37" i="27" s="1"/>
  <c r="F36" i="27"/>
  <c r="E36" i="27" s="1"/>
  <c r="H36" i="27"/>
  <c r="G36" i="27" s="1"/>
  <c r="F35" i="27"/>
  <c r="E35" i="27" s="1"/>
  <c r="H35" i="27"/>
  <c r="G35" i="27" s="1"/>
  <c r="H34" i="27"/>
  <c r="G34" i="27" s="1"/>
  <c r="F34" i="27"/>
  <c r="E34" i="27" s="1"/>
  <c r="H33" i="27"/>
  <c r="G33" i="27" s="1"/>
  <c r="H31" i="27"/>
  <c r="G31" i="27" s="1"/>
  <c r="F31" i="27"/>
  <c r="E31" i="27" s="1"/>
  <c r="H30" i="27"/>
  <c r="G30" i="27" s="1"/>
  <c r="H29" i="27"/>
  <c r="G29" i="27" s="1"/>
  <c r="F29" i="27"/>
  <c r="E29" i="27" s="1"/>
  <c r="H28" i="27"/>
  <c r="G28" i="27" s="1"/>
  <c r="H27" i="27"/>
  <c r="G27" i="27" s="1"/>
  <c r="F26" i="27"/>
  <c r="E26" i="27" s="1"/>
  <c r="H26" i="27"/>
  <c r="G26" i="27" s="1"/>
  <c r="H25" i="27"/>
  <c r="G25" i="27" s="1"/>
  <c r="H23" i="27"/>
  <c r="G23" i="27" s="1"/>
  <c r="H22" i="27"/>
  <c r="G22" i="27" s="1"/>
  <c r="H21" i="27"/>
  <c r="G21" i="27" s="1"/>
  <c r="F21" i="27"/>
  <c r="E21" i="27" s="1"/>
  <c r="F20" i="27"/>
  <c r="E20" i="27" s="1"/>
  <c r="H20" i="27"/>
  <c r="G20" i="27" s="1"/>
  <c r="F19" i="27"/>
  <c r="E19" i="27" s="1"/>
  <c r="H19" i="27"/>
  <c r="G19" i="27" s="1"/>
  <c r="H18" i="27"/>
  <c r="G18" i="27" s="1"/>
  <c r="H17" i="27"/>
  <c r="G17" i="27" s="1"/>
  <c r="F15" i="27"/>
  <c r="E15" i="27" s="1"/>
  <c r="H14" i="27"/>
  <c r="G14" i="27" s="1"/>
  <c r="F13" i="27"/>
  <c r="E13" i="27" s="1"/>
  <c r="H12" i="27"/>
  <c r="G12" i="27" s="1"/>
  <c r="H11" i="27"/>
  <c r="G11" i="27" s="1"/>
  <c r="F10" i="27"/>
  <c r="E10" i="27" s="1"/>
  <c r="H10" i="27"/>
  <c r="G10" i="27" s="1"/>
  <c r="H9" i="27"/>
  <c r="G9" i="27" s="1"/>
  <c r="D4" i="25"/>
  <c r="F29" i="25"/>
  <c r="E29" i="25" s="1"/>
  <c r="H29" i="25"/>
  <c r="G29" i="25" s="1"/>
  <c r="F30" i="25"/>
  <c r="E30" i="25" s="1"/>
  <c r="H30" i="25"/>
  <c r="G30" i="25" s="1"/>
  <c r="F31" i="25"/>
  <c r="E31" i="25" s="1"/>
  <c r="H31" i="25"/>
  <c r="G31" i="25" s="1"/>
  <c r="F32" i="25"/>
  <c r="E32" i="25" s="1"/>
  <c r="H32" i="25"/>
  <c r="G32" i="25" s="1"/>
  <c r="F33" i="25"/>
  <c r="E33" i="25" s="1"/>
  <c r="H33" i="25"/>
  <c r="G33" i="25" s="1"/>
  <c r="F34" i="25"/>
  <c r="E34" i="25" s="1"/>
  <c r="H34" i="25"/>
  <c r="G34" i="25" s="1"/>
  <c r="F35" i="25"/>
  <c r="E35" i="25" s="1"/>
  <c r="H35" i="25"/>
  <c r="G35" i="25" s="1"/>
  <c r="F36" i="25"/>
  <c r="E36" i="25" s="1"/>
  <c r="H36" i="25"/>
  <c r="G36" i="25" s="1"/>
  <c r="F37" i="25"/>
  <c r="E37" i="25" s="1"/>
  <c r="H37" i="25"/>
  <c r="G37" i="25" s="1"/>
  <c r="F38" i="25"/>
  <c r="E38" i="25" s="1"/>
  <c r="H38" i="25"/>
  <c r="G38" i="25" s="1"/>
  <c r="F39" i="25"/>
  <c r="E39" i="25" s="1"/>
  <c r="H39" i="25"/>
  <c r="G39" i="25" s="1"/>
  <c r="F40" i="25"/>
  <c r="E40" i="25" s="1"/>
  <c r="H40" i="25"/>
  <c r="G40" i="25" s="1"/>
  <c r="F41" i="25"/>
  <c r="E41" i="25" s="1"/>
  <c r="H41" i="25"/>
  <c r="G41" i="25" s="1"/>
  <c r="F42" i="25"/>
  <c r="E42" i="25" s="1"/>
  <c r="H42" i="25"/>
  <c r="G42" i="25" s="1"/>
  <c r="F43" i="25"/>
  <c r="E43" i="25" s="1"/>
  <c r="H43" i="25"/>
  <c r="G43" i="25" s="1"/>
  <c r="F44" i="25"/>
  <c r="E44" i="25" s="1"/>
  <c r="H44" i="25"/>
  <c r="G44" i="25" s="1"/>
  <c r="F45" i="25"/>
  <c r="E45" i="25" s="1"/>
  <c r="H45" i="25"/>
  <c r="G45" i="25" s="1"/>
  <c r="F46" i="25"/>
  <c r="E46" i="25" s="1"/>
  <c r="H46" i="25"/>
  <c r="G46" i="25" s="1"/>
  <c r="F47" i="25"/>
  <c r="E47" i="25" s="1"/>
  <c r="H47" i="25"/>
  <c r="G47" i="25" s="1"/>
  <c r="F48" i="25"/>
  <c r="E48" i="25" s="1"/>
  <c r="H48" i="25"/>
  <c r="G48" i="25" s="1"/>
  <c r="F49" i="25"/>
  <c r="E49" i="25" s="1"/>
  <c r="H49" i="25"/>
  <c r="G49" i="25" s="1"/>
  <c r="F50" i="25"/>
  <c r="E50" i="25" s="1"/>
  <c r="H50" i="25"/>
  <c r="G50" i="25" s="1"/>
  <c r="F51" i="25"/>
  <c r="E51" i="25" s="1"/>
  <c r="H51" i="25"/>
  <c r="G51" i="25" s="1"/>
  <c r="F52" i="25"/>
  <c r="E52" i="25" s="1"/>
  <c r="H52" i="25"/>
  <c r="G52" i="25" s="1"/>
  <c r="F53" i="25"/>
  <c r="E53" i="25" s="1"/>
  <c r="H53" i="25"/>
  <c r="G53" i="25" s="1"/>
  <c r="F54" i="25"/>
  <c r="E54" i="25" s="1"/>
  <c r="H54" i="25"/>
  <c r="G54" i="25" s="1"/>
  <c r="F55" i="25"/>
  <c r="E55" i="25" s="1"/>
  <c r="H55" i="25"/>
  <c r="G55" i="25" s="1"/>
  <c r="F56" i="25"/>
  <c r="E56" i="25" s="1"/>
  <c r="H56" i="25"/>
  <c r="G56" i="25" s="1"/>
  <c r="F57" i="25"/>
  <c r="E57" i="25" s="1"/>
  <c r="H57" i="25"/>
  <c r="G57" i="25" s="1"/>
  <c r="F58" i="25"/>
  <c r="E58" i="25" s="1"/>
  <c r="H58" i="25"/>
  <c r="G58" i="25" s="1"/>
  <c r="F59" i="25"/>
  <c r="E59" i="25" s="1"/>
  <c r="H59" i="25"/>
  <c r="G59" i="25" s="1"/>
  <c r="F60" i="25"/>
  <c r="E60" i="25" s="1"/>
  <c r="H60" i="25"/>
  <c r="G60" i="25" s="1"/>
  <c r="F61" i="25"/>
  <c r="E61" i="25" s="1"/>
  <c r="H61" i="25"/>
  <c r="G61" i="25" s="1"/>
  <c r="F62" i="25"/>
  <c r="E62" i="25" s="1"/>
  <c r="H62" i="25"/>
  <c r="G62" i="25" s="1"/>
  <c r="F63" i="25"/>
  <c r="E63" i="25" s="1"/>
  <c r="H63" i="25"/>
  <c r="G63" i="25" s="1"/>
  <c r="F64" i="25"/>
  <c r="E64" i="25" s="1"/>
  <c r="H64" i="25"/>
  <c r="G64" i="25" s="1"/>
  <c r="F65" i="25"/>
  <c r="E65" i="25" s="1"/>
  <c r="H65" i="25"/>
  <c r="G65" i="25" s="1"/>
  <c r="F66" i="25"/>
  <c r="E66" i="25" s="1"/>
  <c r="H66" i="25"/>
  <c r="G66" i="25" s="1"/>
  <c r="F67" i="25"/>
  <c r="E67" i="25" s="1"/>
  <c r="H67" i="25"/>
  <c r="G67" i="25" s="1"/>
  <c r="F68" i="25"/>
  <c r="E68" i="25" s="1"/>
  <c r="H68" i="25"/>
  <c r="G68" i="25" s="1"/>
  <c r="F69" i="25"/>
  <c r="E69" i="25" s="1"/>
  <c r="H69" i="25"/>
  <c r="G69" i="25" s="1"/>
  <c r="B9" i="25"/>
  <c r="F9" i="25" s="1"/>
  <c r="E9" i="25" s="1"/>
  <c r="B10" i="25"/>
  <c r="B11" i="25"/>
  <c r="B12" i="25"/>
  <c r="B13" i="25"/>
  <c r="B14" i="25"/>
  <c r="B15" i="25"/>
  <c r="H15" i="25" s="1"/>
  <c r="G15" i="25" s="1"/>
  <c r="B16" i="25"/>
  <c r="B17" i="25"/>
  <c r="H17" i="25" s="1"/>
  <c r="G17" i="25" s="1"/>
  <c r="B18" i="25"/>
  <c r="B19" i="25"/>
  <c r="B20" i="25"/>
  <c r="B21" i="25"/>
  <c r="B22" i="25"/>
  <c r="B23" i="25"/>
  <c r="H23" i="25" s="1"/>
  <c r="G23" i="25" s="1"/>
  <c r="B24" i="25"/>
  <c r="B25" i="25"/>
  <c r="H25" i="25" s="1"/>
  <c r="G25" i="25" s="1"/>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8" i="25"/>
  <c r="H8" i="25" s="1"/>
  <c r="G8" i="25" s="1"/>
  <c r="H28" i="25"/>
  <c r="G28" i="25" s="1"/>
  <c r="H27" i="25"/>
  <c r="G27" i="25" s="1"/>
  <c r="H26" i="25"/>
  <c r="G26" i="25" s="1"/>
  <c r="H24" i="25"/>
  <c r="G24" i="25" s="1"/>
  <c r="H22" i="25"/>
  <c r="G22" i="25" s="1"/>
  <c r="H21" i="25"/>
  <c r="G21" i="25" s="1"/>
  <c r="H20" i="25"/>
  <c r="G20" i="25" s="1"/>
  <c r="H19" i="25"/>
  <c r="G19" i="25" s="1"/>
  <c r="H18" i="25"/>
  <c r="G18" i="25" s="1"/>
  <c r="H16" i="25"/>
  <c r="G16" i="25" s="1"/>
  <c r="F14" i="25"/>
  <c r="E14" i="25" s="1"/>
  <c r="H13" i="25"/>
  <c r="G13" i="25" s="1"/>
  <c r="H12" i="25"/>
  <c r="G12" i="25" s="1"/>
  <c r="F11" i="25"/>
  <c r="E11" i="25" s="1"/>
  <c r="H10" i="25"/>
  <c r="G10" i="25" s="1"/>
  <c r="G19" i="24"/>
  <c r="D4" i="24"/>
  <c r="H9" i="24"/>
  <c r="G9" i="24" s="1"/>
  <c r="H10" i="24"/>
  <c r="G10" i="24" s="1"/>
  <c r="H11" i="24"/>
  <c r="G11" i="24" s="1"/>
  <c r="H12" i="24"/>
  <c r="G12" i="24" s="1"/>
  <c r="H13" i="24"/>
  <c r="G13" i="24" s="1"/>
  <c r="H14" i="24"/>
  <c r="G14" i="24" s="1"/>
  <c r="H15" i="24"/>
  <c r="G15" i="24" s="1"/>
  <c r="H16" i="24"/>
  <c r="G16" i="24" s="1"/>
  <c r="H17" i="24"/>
  <c r="G17" i="24" s="1"/>
  <c r="H18" i="24"/>
  <c r="G18" i="24" s="1"/>
  <c r="H19" i="24"/>
  <c r="H20" i="24"/>
  <c r="G20" i="24" s="1"/>
  <c r="H21" i="24"/>
  <c r="G21" i="24" s="1"/>
  <c r="H22" i="24"/>
  <c r="G22" i="24" s="1"/>
  <c r="H23" i="24"/>
  <c r="G23" i="24" s="1"/>
  <c r="H24" i="24"/>
  <c r="G24" i="24" s="1"/>
  <c r="H25" i="24"/>
  <c r="G25" i="24" s="1"/>
  <c r="H26" i="24"/>
  <c r="G26" i="24" s="1"/>
  <c r="H27" i="24"/>
  <c r="G27" i="24" s="1"/>
  <c r="H28" i="24"/>
  <c r="G28" i="24" s="1"/>
  <c r="F9" i="24"/>
  <c r="E9" i="24" s="1"/>
  <c r="F10" i="24"/>
  <c r="E10" i="24" s="1"/>
  <c r="F11" i="24"/>
  <c r="E11" i="24" s="1"/>
  <c r="F12" i="24"/>
  <c r="E12" i="24" s="1"/>
  <c r="F13" i="24"/>
  <c r="E13" i="24" s="1"/>
  <c r="F14" i="24"/>
  <c r="E14" i="24" s="1"/>
  <c r="F15" i="24"/>
  <c r="E15" i="24" s="1"/>
  <c r="F16" i="24"/>
  <c r="E16" i="24" s="1"/>
  <c r="F17" i="24"/>
  <c r="E17" i="24" s="1"/>
  <c r="F18" i="24"/>
  <c r="E18" i="24" s="1"/>
  <c r="F19" i="24"/>
  <c r="E19" i="24" s="1"/>
  <c r="F20" i="24"/>
  <c r="E20" i="24" s="1"/>
  <c r="F21" i="24"/>
  <c r="E21" i="24" s="1"/>
  <c r="F22" i="24"/>
  <c r="E22" i="24" s="1"/>
  <c r="F23" i="24"/>
  <c r="E23" i="24" s="1"/>
  <c r="F24" i="24"/>
  <c r="E24" i="24" s="1"/>
  <c r="F25" i="24"/>
  <c r="E25" i="24" s="1"/>
  <c r="F26" i="24"/>
  <c r="E26" i="24" s="1"/>
  <c r="F27" i="24"/>
  <c r="E27" i="24" s="1"/>
  <c r="F28" i="24"/>
  <c r="E28" i="24" s="1"/>
  <c r="H8" i="24"/>
  <c r="G8" i="24" s="1"/>
  <c r="F8" i="24"/>
  <c r="E8" i="24" s="1"/>
  <c r="B9" i="24"/>
  <c r="B10" i="24"/>
  <c r="B11" i="24"/>
  <c r="B12" i="24"/>
  <c r="B13" i="24"/>
  <c r="B14" i="24"/>
  <c r="B15" i="24"/>
  <c r="B16" i="24"/>
  <c r="B17" i="24"/>
  <c r="B18" i="24"/>
  <c r="B19" i="24"/>
  <c r="B20" i="24"/>
  <c r="B21" i="24"/>
  <c r="B22" i="24"/>
  <c r="B23" i="24"/>
  <c r="B24" i="24"/>
  <c r="B25" i="24"/>
  <c r="B26" i="24"/>
  <c r="B27" i="24"/>
  <c r="B28" i="24"/>
  <c r="B8" i="24"/>
  <c r="B32" i="13"/>
  <c r="B31" i="13"/>
  <c r="D5" i="3"/>
  <c r="B85" i="13"/>
  <c r="B86" i="13"/>
  <c r="J9" i="28" l="1"/>
  <c r="J8" i="28"/>
  <c r="I10" i="28"/>
  <c r="I9" i="28"/>
  <c r="I8" i="28"/>
  <c r="H10" i="28"/>
  <c r="H9" i="28"/>
  <c r="K9" i="28"/>
  <c r="E8" i="28"/>
  <c r="H8" i="28"/>
  <c r="G10" i="28"/>
  <c r="G9" i="28"/>
  <c r="G8" i="28"/>
  <c r="F10" i="28"/>
  <c r="F9" i="28"/>
  <c r="L9" i="28"/>
  <c r="H85" i="27"/>
  <c r="G85" i="27" s="1"/>
  <c r="H81" i="27"/>
  <c r="G81" i="27" s="1"/>
  <c r="H77" i="27"/>
  <c r="G77" i="27" s="1"/>
  <c r="H73" i="27"/>
  <c r="G73" i="27" s="1"/>
  <c r="H80" i="27"/>
  <c r="G80" i="27" s="1"/>
  <c r="H72" i="27"/>
  <c r="G72" i="27" s="1"/>
  <c r="H53" i="27"/>
  <c r="G53" i="27" s="1"/>
  <c r="F58" i="27"/>
  <c r="E58" i="27" s="1"/>
  <c r="F16" i="27"/>
  <c r="E16" i="27" s="1"/>
  <c r="F32" i="27"/>
  <c r="E32" i="27" s="1"/>
  <c r="F48" i="27"/>
  <c r="E48" i="27" s="1"/>
  <c r="H15" i="27"/>
  <c r="G15" i="27" s="1"/>
  <c r="F23" i="27"/>
  <c r="E23" i="27" s="1"/>
  <c r="H39" i="27"/>
  <c r="G39" i="27" s="1"/>
  <c r="F43" i="27"/>
  <c r="E43" i="27" s="1"/>
  <c r="F50" i="27"/>
  <c r="E50" i="27" s="1"/>
  <c r="H56" i="27"/>
  <c r="G56" i="27" s="1"/>
  <c r="F60" i="27"/>
  <c r="E60" i="27" s="1"/>
  <c r="F47" i="27"/>
  <c r="E47" i="27" s="1"/>
  <c r="F67" i="27"/>
  <c r="E67" i="27" s="1"/>
  <c r="H13" i="27"/>
  <c r="G13" i="27" s="1"/>
  <c r="F27" i="27"/>
  <c r="E27" i="27" s="1"/>
  <c r="H40" i="27"/>
  <c r="G40" i="27" s="1"/>
  <c r="F44" i="27"/>
  <c r="E44" i="27" s="1"/>
  <c r="F51" i="27"/>
  <c r="E51" i="27" s="1"/>
  <c r="H61" i="27"/>
  <c r="G61" i="27" s="1"/>
  <c r="H64" i="27"/>
  <c r="G64" i="27" s="1"/>
  <c r="F68" i="27"/>
  <c r="E68" i="27" s="1"/>
  <c r="F11" i="27"/>
  <c r="E11" i="27" s="1"/>
  <c r="F18" i="27"/>
  <c r="E18" i="27" s="1"/>
  <c r="H24" i="27"/>
  <c r="G24" i="27" s="1"/>
  <c r="F28" i="27"/>
  <c r="E28" i="27" s="1"/>
  <c r="H8" i="27"/>
  <c r="G8" i="27" s="1"/>
  <c r="F12" i="27"/>
  <c r="E12" i="27" s="1"/>
  <c r="F59" i="27"/>
  <c r="E59" i="27" s="1"/>
  <c r="F9" i="27"/>
  <c r="E9" i="27" s="1"/>
  <c r="F17" i="27"/>
  <c r="E17" i="27" s="1"/>
  <c r="F25" i="27"/>
  <c r="E25" i="27" s="1"/>
  <c r="F33" i="27"/>
  <c r="E33" i="27" s="1"/>
  <c r="F41" i="27"/>
  <c r="E41" i="27" s="1"/>
  <c r="F49" i="27"/>
  <c r="E49" i="27" s="1"/>
  <c r="F57" i="27"/>
  <c r="E57" i="27" s="1"/>
  <c r="F65" i="27"/>
  <c r="E65" i="27" s="1"/>
  <c r="F14" i="27"/>
  <c r="E14" i="27" s="1"/>
  <c r="F22" i="27"/>
  <c r="E22" i="27" s="1"/>
  <c r="F30" i="27"/>
  <c r="E30" i="27" s="1"/>
  <c r="F38" i="27"/>
  <c r="E38" i="27" s="1"/>
  <c r="F46" i="27"/>
  <c r="E46" i="27" s="1"/>
  <c r="F54" i="27"/>
  <c r="E54" i="27" s="1"/>
  <c r="F62" i="27"/>
  <c r="E62" i="27" s="1"/>
  <c r="F27" i="25"/>
  <c r="E27" i="25" s="1"/>
  <c r="F19" i="25"/>
  <c r="E19" i="25" s="1"/>
  <c r="F23" i="25"/>
  <c r="E23" i="25" s="1"/>
  <c r="F15" i="25"/>
  <c r="E15" i="25" s="1"/>
  <c r="F26" i="25"/>
  <c r="E26" i="25" s="1"/>
  <c r="F22" i="25"/>
  <c r="E22" i="25" s="1"/>
  <c r="F18" i="25"/>
  <c r="E18" i="25" s="1"/>
  <c r="F10" i="25"/>
  <c r="E10" i="25" s="1"/>
  <c r="F25" i="25"/>
  <c r="E25" i="25" s="1"/>
  <c r="F21" i="25"/>
  <c r="E21" i="25" s="1"/>
  <c r="F17" i="25"/>
  <c r="E17" i="25" s="1"/>
  <c r="F13" i="25"/>
  <c r="E13" i="25" s="1"/>
  <c r="F28" i="25"/>
  <c r="E28" i="25" s="1"/>
  <c r="F24" i="25"/>
  <c r="E24" i="25" s="1"/>
  <c r="F20" i="25"/>
  <c r="E20" i="25" s="1"/>
  <c r="F16" i="25"/>
  <c r="E16" i="25" s="1"/>
  <c r="F12" i="25"/>
  <c r="E12" i="25" s="1"/>
  <c r="F8" i="25"/>
  <c r="E8" i="25" s="1"/>
  <c r="H14" i="25"/>
  <c r="G14" i="25" s="1"/>
  <c r="H9" i="25"/>
  <c r="G9" i="25" s="1"/>
  <c r="H11" i="25"/>
  <c r="G11" i="25" s="1"/>
  <c r="E85" i="13"/>
  <c r="F85" i="13"/>
  <c r="P59" i="4"/>
  <c r="Q59" i="4"/>
  <c r="I50" i="23" l="1"/>
  <c r="I45" i="23"/>
  <c r="I40" i="23"/>
  <c r="I35" i="23"/>
  <c r="I30" i="23"/>
  <c r="I25" i="23"/>
  <c r="D26" i="3" l="1"/>
  <c r="G8" i="4" l="1"/>
  <c r="D10" i="3" l="1"/>
  <c r="E2" i="18" l="1"/>
  <c r="B71" i="21" l="1"/>
  <c r="B70" i="21"/>
  <c r="Q17" i="19" l="1"/>
  <c r="I18" i="19"/>
  <c r="B61" i="19"/>
  <c r="B60" i="19"/>
  <c r="B59" i="19"/>
  <c r="B58" i="19"/>
  <c r="B57" i="19"/>
  <c r="I59" i="19"/>
  <c r="B71" i="19"/>
  <c r="V17" i="19" s="1"/>
  <c r="B62" i="19"/>
  <c r="F61" i="19"/>
  <c r="E61" i="19"/>
  <c r="D61" i="19"/>
  <c r="F60" i="19"/>
  <c r="E60" i="19"/>
  <c r="F59" i="19"/>
  <c r="E59" i="19"/>
  <c r="F58" i="19"/>
  <c r="E58" i="19"/>
  <c r="F57" i="19"/>
  <c r="E57" i="19"/>
  <c r="B92" i="21"/>
  <c r="B93" i="21"/>
  <c r="B94" i="21"/>
  <c r="B95" i="21"/>
  <c r="B96" i="21"/>
  <c r="Q19" i="21"/>
  <c r="B35" i="21"/>
  <c r="B118" i="21"/>
  <c r="B117" i="21"/>
  <c r="B116" i="21"/>
  <c r="B115" i="21"/>
  <c r="B114" i="21"/>
  <c r="I88" i="21"/>
  <c r="B119" i="21" l="1"/>
  <c r="B128" i="21"/>
  <c r="V19" i="21" s="1"/>
  <c r="F118" i="21"/>
  <c r="E118" i="21"/>
  <c r="D118" i="21"/>
  <c r="F117" i="21"/>
  <c r="E117" i="21"/>
  <c r="F116" i="21"/>
  <c r="E116" i="21"/>
  <c r="F115" i="21"/>
  <c r="E115" i="21"/>
  <c r="F114" i="21"/>
  <c r="E114" i="21"/>
  <c r="Q19" i="13" l="1"/>
  <c r="B131" i="13"/>
  <c r="B130" i="13"/>
  <c r="B129" i="13"/>
  <c r="B128" i="13"/>
  <c r="B127" i="13"/>
  <c r="I91" i="13"/>
  <c r="B132" i="13"/>
  <c r="F131" i="13"/>
  <c r="E131" i="13"/>
  <c r="D131" i="13"/>
  <c r="F130" i="13"/>
  <c r="E130" i="13"/>
  <c r="F129" i="13"/>
  <c r="E129" i="13"/>
  <c r="F128" i="13"/>
  <c r="E128" i="13"/>
  <c r="F127" i="13"/>
  <c r="E127" i="13"/>
  <c r="P17" i="4"/>
  <c r="Q17" i="4"/>
  <c r="P16" i="4"/>
  <c r="P18" i="4"/>
  <c r="Q16" i="4"/>
  <c r="B36" i="19" l="1"/>
  <c r="B41" i="19"/>
  <c r="B40" i="19"/>
  <c r="B83" i="13"/>
  <c r="B39" i="19"/>
  <c r="B38" i="19"/>
  <c r="B37" i="19"/>
  <c r="D43" i="19"/>
  <c r="E43" i="19"/>
  <c r="F43" i="19"/>
  <c r="E36" i="19"/>
  <c r="F36" i="19"/>
  <c r="D37" i="19"/>
  <c r="E37" i="19"/>
  <c r="F37" i="19"/>
  <c r="D38" i="19"/>
  <c r="E38" i="19"/>
  <c r="F38" i="19"/>
  <c r="D39" i="19"/>
  <c r="E39" i="19"/>
  <c r="F39" i="19"/>
  <c r="E40" i="19"/>
  <c r="F40" i="19"/>
  <c r="E41" i="19"/>
  <c r="F41" i="19"/>
  <c r="D42" i="19"/>
  <c r="E42" i="19"/>
  <c r="F42" i="19"/>
  <c r="D44" i="19"/>
  <c r="E44" i="19"/>
  <c r="F44" i="19"/>
  <c r="E45" i="19"/>
  <c r="F45" i="19"/>
  <c r="P80" i="4" l="1"/>
  <c r="P81" i="4"/>
  <c r="B3" i="11" l="1"/>
  <c r="B4" i="27" l="1"/>
  <c r="B4" i="28"/>
  <c r="B4" i="23"/>
  <c r="B4" i="25"/>
  <c r="B4" i="24"/>
  <c r="B64" i="21"/>
  <c r="E64" i="21"/>
  <c r="F64" i="21"/>
  <c r="P87" i="4" l="1"/>
  <c r="Q87" i="4"/>
  <c r="D32" i="3"/>
  <c r="I53" i="21" s="1"/>
  <c r="B51" i="13" l="1"/>
  <c r="D12" i="3" l="1"/>
  <c r="T82" i="4" s="1"/>
  <c r="D11" i="3"/>
  <c r="T22" i="4" s="1"/>
  <c r="D31" i="3"/>
  <c r="D30" i="3"/>
  <c r="D29" i="3"/>
  <c r="D28" i="3"/>
  <c r="D18" i="3" l="1"/>
  <c r="D13" i="3"/>
  <c r="I36" i="21"/>
  <c r="I50" i="13"/>
  <c r="V41" i="4"/>
  <c r="K41" i="4" s="1"/>
  <c r="P41" i="4"/>
  <c r="P35" i="4"/>
  <c r="D19" i="3" l="1"/>
  <c r="D14" i="3"/>
  <c r="P58" i="4"/>
  <c r="L9" i="23" l="1"/>
  <c r="K25" i="23"/>
  <c r="L25" i="23" s="1"/>
  <c r="K30" i="23"/>
  <c r="L30" i="23" s="1"/>
  <c r="K35" i="23"/>
  <c r="L35" i="23" s="1"/>
  <c r="K40" i="23"/>
  <c r="L40" i="23" s="1"/>
  <c r="M40" i="23" s="1"/>
  <c r="K45" i="23"/>
  <c r="L45" i="23" s="1"/>
  <c r="K50" i="23"/>
  <c r="L50" i="23" s="1"/>
  <c r="M64" i="23"/>
  <c r="M75" i="23"/>
  <c r="M83" i="23"/>
  <c r="M84" i="23"/>
  <c r="M85" i="23"/>
  <c r="M86" i="23"/>
  <c r="M87" i="23"/>
  <c r="M96" i="23"/>
  <c r="M97" i="23"/>
  <c r="M98" i="23"/>
  <c r="M99" i="23"/>
  <c r="M108" i="23"/>
  <c r="M109" i="23"/>
  <c r="M110" i="23"/>
  <c r="M111" i="23"/>
  <c r="M125" i="23"/>
  <c r="K133" i="23"/>
  <c r="M133" i="23" s="1"/>
  <c r="K134" i="23"/>
  <c r="M134" i="23"/>
  <c r="K135" i="23"/>
  <c r="M135" i="23" s="1"/>
  <c r="M50" i="23" l="1"/>
  <c r="M30" i="23"/>
  <c r="M88" i="23"/>
  <c r="I85" i="13"/>
  <c r="O51" i="19"/>
  <c r="B42" i="19" s="1"/>
  <c r="M100" i="23"/>
  <c r="M45" i="23"/>
  <c r="M136" i="23"/>
  <c r="M112" i="23"/>
  <c r="M25" i="23"/>
  <c r="M35" i="23"/>
  <c r="B112" i="13"/>
  <c r="B111" i="13"/>
  <c r="E111" i="13"/>
  <c r="F111" i="13"/>
  <c r="E112" i="13"/>
  <c r="F112" i="13"/>
  <c r="D113" i="13"/>
  <c r="E113" i="13"/>
  <c r="F113" i="13"/>
  <c r="M54" i="23" l="1"/>
  <c r="M9" i="23" s="1"/>
  <c r="M85" i="13" s="1"/>
  <c r="P75" i="4"/>
  <c r="P76" i="4"/>
  <c r="Q75" i="4"/>
  <c r="Q76" i="4"/>
  <c r="U51" i="19" l="1"/>
  <c r="B43" i="19" s="1"/>
  <c r="B50" i="21"/>
  <c r="D25" i="3" l="1"/>
  <c r="B102" i="21" l="1"/>
  <c r="B101" i="21"/>
  <c r="B100" i="21"/>
  <c r="B99" i="21"/>
  <c r="B98" i="21"/>
  <c r="B97" i="21"/>
  <c r="B91" i="21"/>
  <c r="B75" i="21"/>
  <c r="B74" i="21"/>
  <c r="B73" i="21"/>
  <c r="B72" i="21"/>
  <c r="B69" i="21"/>
  <c r="B68" i="21"/>
  <c r="B67" i="21"/>
  <c r="B66" i="21"/>
  <c r="B65" i="21"/>
  <c r="B63" i="21"/>
  <c r="B62" i="21"/>
  <c r="B61" i="21"/>
  <c r="E92" i="21" l="1"/>
  <c r="F92" i="21"/>
  <c r="E93" i="21"/>
  <c r="F93" i="21"/>
  <c r="E94" i="21"/>
  <c r="F94" i="21"/>
  <c r="E95" i="21"/>
  <c r="F95" i="21"/>
  <c r="E96" i="21"/>
  <c r="F96" i="21"/>
  <c r="E97" i="21"/>
  <c r="F97" i="21"/>
  <c r="E98" i="21"/>
  <c r="F98" i="21"/>
  <c r="E99" i="21"/>
  <c r="F99" i="21"/>
  <c r="E100" i="21"/>
  <c r="F100" i="21"/>
  <c r="E101" i="21"/>
  <c r="F101" i="21"/>
  <c r="E102" i="21"/>
  <c r="F102" i="21"/>
  <c r="E62" i="21"/>
  <c r="F62" i="21"/>
  <c r="E63" i="21"/>
  <c r="F63" i="21"/>
  <c r="E65" i="21"/>
  <c r="F65" i="21"/>
  <c r="E66" i="21"/>
  <c r="F66" i="21"/>
  <c r="E67" i="21"/>
  <c r="F67" i="21"/>
  <c r="E68" i="21"/>
  <c r="F68" i="21"/>
  <c r="E69" i="21"/>
  <c r="F69" i="21"/>
  <c r="E70" i="21"/>
  <c r="F70" i="21"/>
  <c r="E71" i="21"/>
  <c r="F71" i="21"/>
  <c r="E72" i="21"/>
  <c r="F72" i="21"/>
  <c r="E73" i="21"/>
  <c r="F73" i="21"/>
  <c r="E74" i="21"/>
  <c r="F74" i="21"/>
  <c r="E75" i="21"/>
  <c r="F75" i="21"/>
  <c r="B46" i="21" l="1"/>
  <c r="B34" i="21"/>
  <c r="B33" i="21"/>
  <c r="B32" i="21"/>
  <c r="B112" i="21"/>
  <c r="V18" i="21" s="1"/>
  <c r="B103" i="21"/>
  <c r="F91" i="21"/>
  <c r="E91" i="21"/>
  <c r="B76" i="21"/>
  <c r="F61" i="21"/>
  <c r="E61" i="21"/>
  <c r="B59" i="21"/>
  <c r="N19" i="21" s="1"/>
  <c r="I71" i="21"/>
  <c r="F49" i="21"/>
  <c r="E49" i="21"/>
  <c r="D49" i="21"/>
  <c r="B49" i="21"/>
  <c r="E48" i="21"/>
  <c r="E47" i="21"/>
  <c r="D47" i="21"/>
  <c r="B47" i="21"/>
  <c r="E46" i="21"/>
  <c r="D46" i="21"/>
  <c r="B44" i="21"/>
  <c r="N18" i="21" s="1"/>
  <c r="I42" i="21"/>
  <c r="I31" i="21"/>
  <c r="F34" i="21"/>
  <c r="E34" i="21"/>
  <c r="D34" i="21"/>
  <c r="F33" i="21"/>
  <c r="E33" i="21"/>
  <c r="D33" i="21"/>
  <c r="F32" i="21"/>
  <c r="E32" i="21"/>
  <c r="I26" i="21"/>
  <c r="B30" i="21"/>
  <c r="N17" i="21" s="1"/>
  <c r="B21" i="21"/>
  <c r="I21" i="21"/>
  <c r="F20" i="21"/>
  <c r="E20" i="21"/>
  <c r="D20" i="21"/>
  <c r="B20" i="21"/>
  <c r="I19" i="21"/>
  <c r="F19" i="21"/>
  <c r="E19" i="21"/>
  <c r="D19" i="21"/>
  <c r="B19" i="21"/>
  <c r="Q18" i="21"/>
  <c r="I18" i="21"/>
  <c r="Q17" i="21"/>
  <c r="I17" i="21"/>
  <c r="R13" i="21"/>
  <c r="N13" i="21"/>
  <c r="J13" i="21"/>
  <c r="B7" i="21"/>
  <c r="P109" i="4" l="1"/>
  <c r="P100" i="4"/>
  <c r="P96" i="4"/>
  <c r="P92" i="4"/>
  <c r="P93" i="4"/>
  <c r="P94" i="4"/>
  <c r="P95" i="4"/>
  <c r="P97" i="4"/>
  <c r="P98" i="4"/>
  <c r="P99" i="4"/>
  <c r="P101" i="4"/>
  <c r="P102" i="4"/>
  <c r="P103" i="4"/>
  <c r="P104" i="4"/>
  <c r="P105" i="4"/>
  <c r="P106" i="4"/>
  <c r="P107" i="4"/>
  <c r="P108" i="4"/>
  <c r="P110" i="4"/>
  <c r="P111" i="4"/>
  <c r="Q92" i="4"/>
  <c r="Q93" i="4"/>
  <c r="Q94" i="4"/>
  <c r="Q97" i="4"/>
  <c r="Q98" i="4"/>
  <c r="Q99" i="4"/>
  <c r="Q101" i="4"/>
  <c r="Q102" i="4"/>
  <c r="Q103" i="4"/>
  <c r="Q104" i="4"/>
  <c r="Q105" i="4"/>
  <c r="Q106" i="4"/>
  <c r="Q107" i="4"/>
  <c r="Q108" i="4"/>
  <c r="Q110" i="4"/>
  <c r="Q111" i="4"/>
  <c r="P91" i="4" l="1"/>
  <c r="Q91" i="4"/>
  <c r="P90" i="4"/>
  <c r="Q90" i="4"/>
  <c r="P89" i="4"/>
  <c r="Q89" i="4"/>
  <c r="P88" i="4"/>
  <c r="Q88" i="4"/>
  <c r="P86" i="4"/>
  <c r="Q86" i="4"/>
  <c r="P85" i="4"/>
  <c r="Q85" i="4"/>
  <c r="P84" i="4"/>
  <c r="B9" i="19" l="1"/>
  <c r="B34" i="19"/>
  <c r="B32" i="19" l="1"/>
  <c r="B31" i="19"/>
  <c r="B35" i="19"/>
  <c r="B33" i="19"/>
  <c r="P83" i="4" l="1"/>
  <c r="B55" i="19"/>
  <c r="N18" i="19" s="1"/>
  <c r="B46" i="19"/>
  <c r="F35" i="19"/>
  <c r="E35" i="19"/>
  <c r="F34" i="19"/>
  <c r="W29" i="19" s="1"/>
  <c r="E34" i="19"/>
  <c r="F33" i="19"/>
  <c r="E33" i="19"/>
  <c r="D33" i="19"/>
  <c r="F32" i="19"/>
  <c r="E32" i="19"/>
  <c r="D32" i="19"/>
  <c r="F31" i="19"/>
  <c r="E31" i="19"/>
  <c r="D31" i="19"/>
  <c r="I25" i="19"/>
  <c r="B29" i="19"/>
  <c r="N17" i="19" s="1"/>
  <c r="B20" i="19"/>
  <c r="I20" i="19"/>
  <c r="F19" i="19"/>
  <c r="E19" i="19"/>
  <c r="D19" i="19"/>
  <c r="B19" i="19"/>
  <c r="I17" i="19"/>
  <c r="R13" i="19"/>
  <c r="N13" i="19"/>
  <c r="J13" i="19"/>
  <c r="B10" i="19"/>
  <c r="B7" i="19"/>
  <c r="B12" i="19" l="1"/>
  <c r="I6" i="19" s="1"/>
  <c r="B11" i="19"/>
  <c r="H6" i="19" s="1"/>
  <c r="P82" i="4"/>
  <c r="P79" i="4"/>
  <c r="Q79" i="4"/>
  <c r="S4" i="2" l="1"/>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S1000" i="2"/>
  <c r="S1001" i="2"/>
  <c r="S1002" i="2"/>
  <c r="S1003" i="2"/>
  <c r="S1004" i="2"/>
  <c r="S1005" i="2"/>
  <c r="S1006" i="2"/>
  <c r="S1007" i="2"/>
  <c r="S1008" i="2"/>
  <c r="S1009" i="2"/>
  <c r="S1010" i="2"/>
  <c r="S1011" i="2"/>
  <c r="S1012" i="2"/>
  <c r="S1013" i="2"/>
  <c r="S1014" i="2"/>
  <c r="S1015" i="2"/>
  <c r="S1016" i="2"/>
  <c r="S1017" i="2"/>
  <c r="S1018" i="2"/>
  <c r="S1019" i="2"/>
  <c r="S1020" i="2"/>
  <c r="S1021" i="2"/>
  <c r="S1022" i="2"/>
  <c r="S1023" i="2"/>
  <c r="S1024" i="2"/>
  <c r="S1025" i="2"/>
  <c r="S1026" i="2"/>
  <c r="S1027" i="2"/>
  <c r="S1028" i="2"/>
  <c r="S1029" i="2"/>
  <c r="S1030" i="2"/>
  <c r="S1031" i="2"/>
  <c r="S1032" i="2"/>
  <c r="S1033" i="2"/>
  <c r="S1034" i="2"/>
  <c r="S1035" i="2"/>
  <c r="S1036" i="2"/>
  <c r="S1037" i="2"/>
  <c r="S1038" i="2"/>
  <c r="S1039" i="2"/>
  <c r="S1040" i="2"/>
  <c r="S1041" i="2"/>
  <c r="S1042" i="2"/>
  <c r="S1043" i="2"/>
  <c r="S1044" i="2"/>
  <c r="S1045" i="2"/>
  <c r="S1046" i="2"/>
  <c r="S1047" i="2"/>
  <c r="S1048" i="2"/>
  <c r="S1049" i="2"/>
  <c r="S1050" i="2"/>
  <c r="S1051" i="2"/>
  <c r="S1052" i="2"/>
  <c r="S1053" i="2"/>
  <c r="S1054" i="2"/>
  <c r="S1055" i="2"/>
  <c r="S1056" i="2"/>
  <c r="S1057" i="2"/>
  <c r="S1058" i="2"/>
  <c r="S1059" i="2"/>
  <c r="S1060" i="2"/>
  <c r="S1061" i="2"/>
  <c r="S1062" i="2"/>
  <c r="S1063" i="2"/>
  <c r="S1064" i="2"/>
  <c r="S1065" i="2"/>
  <c r="S1066" i="2"/>
  <c r="S1067" i="2"/>
  <c r="S1068" i="2"/>
  <c r="S1069" i="2"/>
  <c r="S1070" i="2"/>
  <c r="S1071" i="2"/>
  <c r="S1072" i="2"/>
  <c r="S1073" i="2"/>
  <c r="S1074" i="2"/>
  <c r="S1075" i="2"/>
  <c r="S1076" i="2"/>
  <c r="S1077" i="2"/>
  <c r="S1078" i="2"/>
  <c r="S1079" i="2"/>
  <c r="S1080" i="2"/>
  <c r="S1081" i="2"/>
  <c r="S1082" i="2"/>
  <c r="S1083" i="2"/>
  <c r="S1084" i="2"/>
  <c r="S1085" i="2"/>
  <c r="S1086" i="2"/>
  <c r="S1087" i="2"/>
  <c r="S1088" i="2"/>
  <c r="S1089" i="2"/>
  <c r="S1090" i="2"/>
  <c r="S1091" i="2"/>
  <c r="S1092" i="2"/>
  <c r="S1093" i="2"/>
  <c r="S1094" i="2"/>
  <c r="S1095" i="2"/>
  <c r="S1096" i="2"/>
  <c r="S1097" i="2"/>
  <c r="S1098" i="2"/>
  <c r="S1099" i="2"/>
  <c r="S1100" i="2"/>
  <c r="S1101" i="2"/>
  <c r="S1102" i="2"/>
  <c r="S1103" i="2"/>
  <c r="S1104" i="2"/>
  <c r="S1105" i="2"/>
  <c r="S1106" i="2"/>
  <c r="S1107" i="2"/>
  <c r="S1108" i="2"/>
  <c r="S1109" i="2"/>
  <c r="S1110" i="2"/>
  <c r="S1111" i="2"/>
  <c r="S1112" i="2"/>
  <c r="S1113" i="2"/>
  <c r="S1114" i="2"/>
  <c r="S1115" i="2"/>
  <c r="S1116" i="2"/>
  <c r="S1117" i="2"/>
  <c r="S1118" i="2"/>
  <c r="S1119" i="2"/>
  <c r="S1120" i="2"/>
  <c r="S1121" i="2"/>
  <c r="S1122" i="2"/>
  <c r="S1123" i="2"/>
  <c r="S1124" i="2"/>
  <c r="S1125" i="2"/>
  <c r="S1126" i="2"/>
  <c r="S1127" i="2"/>
  <c r="S1128" i="2"/>
  <c r="S1129" i="2"/>
  <c r="S1130" i="2"/>
  <c r="S1131" i="2"/>
  <c r="S1132" i="2"/>
  <c r="S1133" i="2"/>
  <c r="S1134" i="2"/>
  <c r="S1135" i="2"/>
  <c r="S1136" i="2"/>
  <c r="S1137" i="2"/>
  <c r="S1138" i="2"/>
  <c r="S1139" i="2"/>
  <c r="S1140" i="2"/>
  <c r="S1141" i="2"/>
  <c r="S1142" i="2"/>
  <c r="S1143" i="2"/>
  <c r="S1144" i="2"/>
  <c r="S1145" i="2"/>
  <c r="S1146" i="2"/>
  <c r="S1147" i="2"/>
  <c r="S1148" i="2"/>
  <c r="S1149" i="2"/>
  <c r="S1150" i="2"/>
  <c r="S1151" i="2"/>
  <c r="S1152" i="2"/>
  <c r="S1153" i="2"/>
  <c r="S1154" i="2"/>
  <c r="S1155" i="2"/>
  <c r="S1156" i="2"/>
  <c r="S1157" i="2"/>
  <c r="S1158" i="2"/>
  <c r="S1159" i="2"/>
  <c r="S1160" i="2"/>
  <c r="S1161" i="2"/>
  <c r="S1162" i="2"/>
  <c r="S1163" i="2"/>
  <c r="S1164" i="2"/>
  <c r="S1165" i="2"/>
  <c r="S1166" i="2"/>
  <c r="S1167" i="2"/>
  <c r="S1168" i="2"/>
  <c r="S1169" i="2"/>
  <c r="S1170" i="2"/>
  <c r="S1171" i="2"/>
  <c r="S1172" i="2"/>
  <c r="S1173" i="2"/>
  <c r="S1174" i="2"/>
  <c r="S1175" i="2"/>
  <c r="S1176" i="2"/>
  <c r="S1177" i="2"/>
  <c r="S1178" i="2"/>
  <c r="S1179" i="2"/>
  <c r="S1180" i="2"/>
  <c r="S1181" i="2"/>
  <c r="S1182" i="2"/>
  <c r="S1183" i="2"/>
  <c r="S1184" i="2"/>
  <c r="S1185" i="2"/>
  <c r="S1186" i="2"/>
  <c r="S1187" i="2"/>
  <c r="S1188" i="2"/>
  <c r="S1189" i="2"/>
  <c r="S1190" i="2"/>
  <c r="S1191" i="2"/>
  <c r="S1192" i="2"/>
  <c r="S1193" i="2"/>
  <c r="S1194" i="2"/>
  <c r="S1195" i="2"/>
  <c r="S1196" i="2"/>
  <c r="S1197" i="2"/>
  <c r="S1198" i="2"/>
  <c r="S1199" i="2"/>
  <c r="S1200" i="2"/>
  <c r="S1201" i="2"/>
  <c r="S1202" i="2"/>
  <c r="S1203" i="2"/>
  <c r="S1204" i="2"/>
  <c r="S1205" i="2"/>
  <c r="S1206" i="2"/>
  <c r="S1207" i="2"/>
  <c r="S1208" i="2"/>
  <c r="S1209" i="2"/>
  <c r="S1210" i="2"/>
  <c r="S1211" i="2"/>
  <c r="S1212" i="2"/>
  <c r="S1213" i="2"/>
  <c r="S1214" i="2"/>
  <c r="S1215" i="2"/>
  <c r="S1216" i="2"/>
  <c r="S1217" i="2"/>
  <c r="S1218" i="2"/>
  <c r="S1219" i="2"/>
  <c r="S1220" i="2"/>
  <c r="S1221" i="2"/>
  <c r="S1222" i="2"/>
  <c r="S1223" i="2"/>
  <c r="S1224" i="2"/>
  <c r="S1225" i="2"/>
  <c r="S1226" i="2"/>
  <c r="S1227" i="2"/>
  <c r="S1228" i="2"/>
  <c r="S1229" i="2"/>
  <c r="S1230" i="2"/>
  <c r="S1231" i="2"/>
  <c r="S1232" i="2"/>
  <c r="S1233" i="2"/>
  <c r="S1234" i="2"/>
  <c r="S1235" i="2"/>
  <c r="S1236" i="2"/>
  <c r="S1237" i="2"/>
  <c r="S1238" i="2"/>
  <c r="S1239" i="2"/>
  <c r="S1240" i="2"/>
  <c r="S1241" i="2"/>
  <c r="S1242" i="2"/>
  <c r="S1243" i="2"/>
  <c r="S1244" i="2"/>
  <c r="S1245" i="2"/>
  <c r="S1246" i="2"/>
  <c r="S1247" i="2"/>
  <c r="S1248" i="2"/>
  <c r="S1249" i="2"/>
  <c r="S1250" i="2"/>
  <c r="S1251" i="2"/>
  <c r="S1252" i="2"/>
  <c r="S1253" i="2"/>
  <c r="S1254" i="2"/>
  <c r="S1255" i="2"/>
  <c r="S1256" i="2"/>
  <c r="S1257" i="2"/>
  <c r="S1258" i="2"/>
  <c r="S1259" i="2"/>
  <c r="S1260" i="2"/>
  <c r="S1261" i="2"/>
  <c r="S1262" i="2"/>
  <c r="S1263" i="2"/>
  <c r="S1264" i="2"/>
  <c r="S1265" i="2"/>
  <c r="S1266" i="2"/>
  <c r="S1267" i="2"/>
  <c r="S1268" i="2"/>
  <c r="S1269" i="2"/>
  <c r="S1270" i="2"/>
  <c r="S1271" i="2"/>
  <c r="S1272" i="2"/>
  <c r="S1273" i="2"/>
  <c r="S1274" i="2"/>
  <c r="S1275" i="2"/>
  <c r="S1276" i="2"/>
  <c r="S1277" i="2"/>
  <c r="S1278" i="2"/>
  <c r="S1279" i="2"/>
  <c r="S1280" i="2"/>
  <c r="S1281" i="2"/>
  <c r="S1282" i="2"/>
  <c r="S1283" i="2"/>
  <c r="S1284" i="2"/>
  <c r="S1285" i="2"/>
  <c r="S1286" i="2"/>
  <c r="S1287" i="2"/>
  <c r="S1288" i="2"/>
  <c r="S1289" i="2"/>
  <c r="S1290" i="2"/>
  <c r="S1291" i="2"/>
  <c r="S1292" i="2"/>
  <c r="S1293" i="2"/>
  <c r="S1294" i="2"/>
  <c r="S1295" i="2"/>
  <c r="S1296" i="2"/>
  <c r="S1297" i="2"/>
  <c r="S1298" i="2"/>
  <c r="S1299" i="2"/>
  <c r="S1300" i="2"/>
  <c r="S1301" i="2"/>
  <c r="S1302" i="2"/>
  <c r="S1303" i="2"/>
  <c r="S1304" i="2"/>
  <c r="S1305" i="2"/>
  <c r="S1306" i="2"/>
  <c r="S1307" i="2"/>
  <c r="S1308" i="2"/>
  <c r="S1309" i="2"/>
  <c r="S1310" i="2"/>
  <c r="S1311" i="2"/>
  <c r="S1312" i="2"/>
  <c r="S1313" i="2"/>
  <c r="S1314" i="2"/>
  <c r="S1315" i="2"/>
  <c r="S1316" i="2"/>
  <c r="S1317" i="2"/>
  <c r="S1318" i="2"/>
  <c r="S1319" i="2"/>
  <c r="S1320" i="2"/>
  <c r="S1321" i="2"/>
  <c r="S1322" i="2"/>
  <c r="S1323" i="2"/>
  <c r="S1324" i="2"/>
  <c r="S1325" i="2"/>
  <c r="S1326" i="2"/>
  <c r="S1327" i="2"/>
  <c r="S1328" i="2"/>
  <c r="S1329" i="2"/>
  <c r="S1330" i="2"/>
  <c r="S1331" i="2"/>
  <c r="S1332" i="2"/>
  <c r="S1333" i="2"/>
  <c r="S1334" i="2"/>
  <c r="S1335" i="2"/>
  <c r="S1336" i="2"/>
  <c r="S1337" i="2"/>
  <c r="S1338" i="2"/>
  <c r="S1339" i="2"/>
  <c r="S1340" i="2"/>
  <c r="S1341" i="2"/>
  <c r="S1342" i="2"/>
  <c r="S1343" i="2"/>
  <c r="S1344" i="2"/>
  <c r="S1345" i="2"/>
  <c r="S1346" i="2"/>
  <c r="S1347" i="2"/>
  <c r="S1348" i="2"/>
  <c r="S1349" i="2"/>
  <c r="S1350" i="2"/>
  <c r="S1351" i="2"/>
  <c r="S1352" i="2"/>
  <c r="S1353" i="2"/>
  <c r="S1354" i="2"/>
  <c r="S1355" i="2"/>
  <c r="S1356" i="2"/>
  <c r="S1357" i="2"/>
  <c r="S1358" i="2"/>
  <c r="S1359" i="2"/>
  <c r="S1360" i="2"/>
  <c r="S1361" i="2"/>
  <c r="S1362" i="2"/>
  <c r="S1363" i="2"/>
  <c r="S1364" i="2"/>
  <c r="S1365" i="2"/>
  <c r="S1366" i="2"/>
  <c r="S1367" i="2"/>
  <c r="S1368" i="2"/>
  <c r="S1369" i="2"/>
  <c r="S1370" i="2"/>
  <c r="S1371" i="2"/>
  <c r="S1372" i="2"/>
  <c r="S1373" i="2"/>
  <c r="S1374" i="2"/>
  <c r="S1375" i="2"/>
  <c r="S1376" i="2"/>
  <c r="S1377" i="2"/>
  <c r="S1378" i="2"/>
  <c r="S1379" i="2"/>
  <c r="S1380" i="2"/>
  <c r="S1381" i="2"/>
  <c r="S1382" i="2"/>
  <c r="S1383" i="2"/>
  <c r="S1384" i="2"/>
  <c r="S1385" i="2"/>
  <c r="S1386" i="2"/>
  <c r="S1387" i="2"/>
  <c r="S1388" i="2"/>
  <c r="S1389" i="2"/>
  <c r="S1390" i="2"/>
  <c r="S1391" i="2"/>
  <c r="S1392" i="2"/>
  <c r="S1393" i="2"/>
  <c r="S1394" i="2"/>
  <c r="S1395" i="2"/>
  <c r="S1396" i="2"/>
  <c r="S1397" i="2"/>
  <c r="S1398" i="2"/>
  <c r="S1399" i="2"/>
  <c r="S1400" i="2"/>
  <c r="S1401" i="2"/>
  <c r="S1402" i="2"/>
  <c r="S1403" i="2"/>
  <c r="S1404" i="2"/>
  <c r="S1405" i="2"/>
  <c r="S1406" i="2"/>
  <c r="S1407" i="2"/>
  <c r="S1408" i="2"/>
  <c r="S1409" i="2"/>
  <c r="S1410" i="2"/>
  <c r="S1411" i="2"/>
  <c r="S1412" i="2"/>
  <c r="S1413" i="2"/>
  <c r="S1414" i="2"/>
  <c r="S1415" i="2"/>
  <c r="S1416" i="2"/>
  <c r="S1417" i="2"/>
  <c r="S1418" i="2"/>
  <c r="S1419" i="2"/>
  <c r="S1420" i="2"/>
  <c r="S1421" i="2"/>
  <c r="S1422" i="2"/>
  <c r="S1423" i="2"/>
  <c r="S1424" i="2"/>
  <c r="S1425" i="2"/>
  <c r="S1426" i="2"/>
  <c r="S1427" i="2"/>
  <c r="S1428" i="2"/>
  <c r="S1429" i="2"/>
  <c r="S1430" i="2"/>
  <c r="S1431" i="2"/>
  <c r="S1432" i="2"/>
  <c r="S1433" i="2"/>
  <c r="S1434" i="2"/>
  <c r="S1435" i="2"/>
  <c r="S1436" i="2"/>
  <c r="S1437" i="2"/>
  <c r="S1438" i="2"/>
  <c r="S1439" i="2"/>
  <c r="S1440" i="2"/>
  <c r="S1441" i="2"/>
  <c r="S1442" i="2"/>
  <c r="S1443" i="2"/>
  <c r="S1444" i="2"/>
  <c r="S1445" i="2"/>
  <c r="S1446" i="2"/>
  <c r="S1447" i="2"/>
  <c r="S1448" i="2"/>
  <c r="S1449" i="2"/>
  <c r="S1450" i="2"/>
  <c r="S1451" i="2"/>
  <c r="S1452" i="2"/>
  <c r="S1453" i="2"/>
  <c r="S1454" i="2"/>
  <c r="S1455" i="2"/>
  <c r="S1456" i="2"/>
  <c r="S1457" i="2"/>
  <c r="S1458" i="2"/>
  <c r="S1459" i="2"/>
  <c r="S1460" i="2"/>
  <c r="S1461" i="2"/>
  <c r="S1462" i="2"/>
  <c r="S1463" i="2"/>
  <c r="S1464" i="2"/>
  <c r="S1465" i="2"/>
  <c r="S1466" i="2"/>
  <c r="S1467" i="2"/>
  <c r="S1468" i="2"/>
  <c r="S1469" i="2"/>
  <c r="S1470" i="2"/>
  <c r="S1471" i="2"/>
  <c r="S1472" i="2"/>
  <c r="S1473" i="2"/>
  <c r="S1474" i="2"/>
  <c r="S1475" i="2"/>
  <c r="S1476" i="2"/>
  <c r="S1477" i="2"/>
  <c r="S1478" i="2"/>
  <c r="S1479" i="2"/>
  <c r="S1480" i="2"/>
  <c r="S1481" i="2"/>
  <c r="S1482" i="2"/>
  <c r="S1483" i="2"/>
  <c r="S1484" i="2"/>
  <c r="S1485" i="2"/>
  <c r="S1486" i="2"/>
  <c r="S1487" i="2"/>
  <c r="S1488" i="2"/>
  <c r="S1489" i="2"/>
  <c r="S1490" i="2"/>
  <c r="S1491" i="2"/>
  <c r="S1492" i="2"/>
  <c r="S1493" i="2"/>
  <c r="S1494" i="2"/>
  <c r="S1495" i="2"/>
  <c r="S1496" i="2"/>
  <c r="S1497" i="2"/>
  <c r="S1498" i="2"/>
  <c r="S1499" i="2"/>
  <c r="S1500" i="2"/>
  <c r="S1501" i="2"/>
  <c r="S1502" i="2"/>
  <c r="S1503" i="2"/>
  <c r="S1504" i="2"/>
  <c r="S1505" i="2"/>
  <c r="S1506" i="2"/>
  <c r="S1507" i="2"/>
  <c r="S1508" i="2"/>
  <c r="S1509" i="2"/>
  <c r="S1510" i="2"/>
  <c r="S1511" i="2"/>
  <c r="S1512" i="2"/>
  <c r="S1513" i="2"/>
  <c r="S1514" i="2"/>
  <c r="S1515" i="2"/>
  <c r="S1516" i="2"/>
  <c r="S1517" i="2"/>
  <c r="S1518" i="2"/>
  <c r="S1519" i="2"/>
  <c r="S1520" i="2"/>
  <c r="S1521" i="2"/>
  <c r="S1522" i="2"/>
  <c r="S1523" i="2"/>
  <c r="S1524" i="2"/>
  <c r="S1525" i="2"/>
  <c r="S1526" i="2"/>
  <c r="S1527" i="2"/>
  <c r="S1528" i="2"/>
  <c r="S1529" i="2"/>
  <c r="S1530" i="2"/>
  <c r="S1531" i="2"/>
  <c r="S1532" i="2"/>
  <c r="S1533" i="2"/>
  <c r="S1534" i="2"/>
  <c r="S1535" i="2"/>
  <c r="S1536" i="2"/>
  <c r="S1537" i="2"/>
  <c r="S1538" i="2"/>
  <c r="S1539" i="2"/>
  <c r="S1540" i="2"/>
  <c r="S1541" i="2"/>
  <c r="S1542" i="2"/>
  <c r="S1543" i="2"/>
  <c r="S1544" i="2"/>
  <c r="S1545" i="2"/>
  <c r="S1546" i="2"/>
  <c r="S1547" i="2"/>
  <c r="S1548" i="2"/>
  <c r="S1549" i="2"/>
  <c r="S1550" i="2"/>
  <c r="S1551" i="2"/>
  <c r="S1552" i="2"/>
  <c r="S1553" i="2"/>
  <c r="S1554" i="2"/>
  <c r="S1555" i="2"/>
  <c r="S1556" i="2"/>
  <c r="S1557" i="2"/>
  <c r="S1558" i="2"/>
  <c r="S1559" i="2"/>
  <c r="S1560" i="2"/>
  <c r="S1561" i="2"/>
  <c r="S1562" i="2"/>
  <c r="S1563" i="2"/>
  <c r="S1564" i="2"/>
  <c r="S1565" i="2"/>
  <c r="S1566" i="2"/>
  <c r="S1567" i="2"/>
  <c r="S1568" i="2"/>
  <c r="S1569" i="2"/>
  <c r="S1570" i="2"/>
  <c r="S1571" i="2"/>
  <c r="S1572" i="2"/>
  <c r="S1573" i="2"/>
  <c r="S1574" i="2"/>
  <c r="S1575" i="2"/>
  <c r="S1576" i="2"/>
  <c r="S1577" i="2"/>
  <c r="S1578" i="2"/>
  <c r="S1579" i="2"/>
  <c r="S1580" i="2"/>
  <c r="S1581" i="2"/>
  <c r="S1582" i="2"/>
  <c r="S1583" i="2"/>
  <c r="S1584" i="2"/>
  <c r="S1585" i="2"/>
  <c r="S1586" i="2"/>
  <c r="S1587" i="2"/>
  <c r="S1588" i="2"/>
  <c r="S1589" i="2"/>
  <c r="S1590" i="2"/>
  <c r="S1591" i="2"/>
  <c r="S1592" i="2"/>
  <c r="S1593" i="2"/>
  <c r="S1594" i="2"/>
  <c r="S1595" i="2"/>
  <c r="S1596" i="2"/>
  <c r="S1597" i="2"/>
  <c r="S1598" i="2"/>
  <c r="S1599" i="2"/>
  <c r="S1600" i="2"/>
  <c r="S1601" i="2"/>
  <c r="S1602" i="2"/>
  <c r="S1603" i="2"/>
  <c r="S1604" i="2"/>
  <c r="S1605" i="2"/>
  <c r="S1606" i="2"/>
  <c r="S1607" i="2"/>
  <c r="S1608" i="2"/>
  <c r="S1609" i="2"/>
  <c r="S1610" i="2"/>
  <c r="S1611" i="2"/>
  <c r="S1612" i="2"/>
  <c r="S1613" i="2"/>
  <c r="S1614" i="2"/>
  <c r="S1615" i="2"/>
  <c r="S1616" i="2"/>
  <c r="S1617" i="2"/>
  <c r="S1618" i="2"/>
  <c r="S1619" i="2"/>
  <c r="S1620" i="2"/>
  <c r="S1621" i="2"/>
  <c r="S1622" i="2"/>
  <c r="S1623" i="2"/>
  <c r="S1624" i="2"/>
  <c r="S1625" i="2"/>
  <c r="S1626" i="2"/>
  <c r="S1627" i="2"/>
  <c r="S1628" i="2"/>
  <c r="S1629" i="2"/>
  <c r="S1630" i="2"/>
  <c r="S1631" i="2"/>
  <c r="S1632" i="2"/>
  <c r="S1633" i="2"/>
  <c r="S1634" i="2"/>
  <c r="S1635" i="2"/>
  <c r="S1636" i="2"/>
  <c r="S1637" i="2"/>
  <c r="S1638" i="2"/>
  <c r="S1639" i="2"/>
  <c r="S1640" i="2"/>
  <c r="S1641" i="2"/>
  <c r="S1642" i="2"/>
  <c r="S1643" i="2"/>
  <c r="S1644" i="2"/>
  <c r="S1645" i="2"/>
  <c r="S1646" i="2"/>
  <c r="S1647" i="2"/>
  <c r="S1648" i="2"/>
  <c r="S1649" i="2"/>
  <c r="S1650" i="2"/>
  <c r="S1651" i="2"/>
  <c r="S1652" i="2"/>
  <c r="S1653" i="2"/>
  <c r="S1654" i="2"/>
  <c r="S1655" i="2"/>
  <c r="S1656" i="2"/>
  <c r="S1657" i="2"/>
  <c r="S1658" i="2"/>
  <c r="S1659" i="2"/>
  <c r="S1660" i="2"/>
  <c r="S1661" i="2"/>
  <c r="S1662" i="2"/>
  <c r="S1663" i="2"/>
  <c r="S1664" i="2"/>
  <c r="S1665" i="2"/>
  <c r="S1666" i="2"/>
  <c r="S1667" i="2"/>
  <c r="S1668" i="2"/>
  <c r="S1669" i="2"/>
  <c r="S1670" i="2"/>
  <c r="S1671" i="2"/>
  <c r="S1672" i="2"/>
  <c r="S1673" i="2"/>
  <c r="S1674" i="2"/>
  <c r="S1675" i="2"/>
  <c r="S1676" i="2"/>
  <c r="S1677" i="2"/>
  <c r="S1678" i="2"/>
  <c r="S1679" i="2"/>
  <c r="S1680" i="2"/>
  <c r="S1681" i="2"/>
  <c r="S1682" i="2"/>
  <c r="S1683" i="2"/>
  <c r="S1684" i="2"/>
  <c r="S1685" i="2"/>
  <c r="S1686" i="2"/>
  <c r="S1687" i="2"/>
  <c r="S1688" i="2"/>
  <c r="S1689" i="2"/>
  <c r="S1690" i="2"/>
  <c r="S1691" i="2"/>
  <c r="S1692" i="2"/>
  <c r="S1693" i="2"/>
  <c r="S1694" i="2"/>
  <c r="S1695" i="2"/>
  <c r="S1696" i="2"/>
  <c r="S1697" i="2"/>
  <c r="S1698" i="2"/>
  <c r="S1699" i="2"/>
  <c r="S1700" i="2"/>
  <c r="S1701" i="2"/>
  <c r="S1702" i="2"/>
  <c r="S1703" i="2"/>
  <c r="S1704" i="2"/>
  <c r="S1705" i="2"/>
  <c r="S1706" i="2"/>
  <c r="S1707" i="2"/>
  <c r="S1708" i="2"/>
  <c r="S1709" i="2"/>
  <c r="S1710" i="2"/>
  <c r="S1711" i="2"/>
  <c r="S1712" i="2"/>
  <c r="S1713" i="2"/>
  <c r="S1714" i="2"/>
  <c r="S1715" i="2"/>
  <c r="S1716" i="2"/>
  <c r="S1717" i="2"/>
  <c r="S1718" i="2"/>
  <c r="S1719" i="2"/>
  <c r="S1720" i="2"/>
  <c r="S1721" i="2"/>
  <c r="S1722" i="2"/>
  <c r="S1723" i="2"/>
  <c r="S1724" i="2"/>
  <c r="S1725" i="2"/>
  <c r="S1726" i="2"/>
  <c r="S1727" i="2"/>
  <c r="S1728" i="2"/>
  <c r="S1729" i="2"/>
  <c r="S1730" i="2"/>
  <c r="S1731" i="2"/>
  <c r="S1732" i="2"/>
  <c r="S1733" i="2"/>
  <c r="S1734" i="2"/>
  <c r="S1735" i="2"/>
  <c r="S1736" i="2"/>
  <c r="S1737" i="2"/>
  <c r="S1738" i="2"/>
  <c r="S1739" i="2"/>
  <c r="S1740" i="2"/>
  <c r="S1741" i="2"/>
  <c r="S1742" i="2"/>
  <c r="S1743" i="2"/>
  <c r="S1744" i="2"/>
  <c r="S1745" i="2"/>
  <c r="S1746" i="2"/>
  <c r="S1747" i="2"/>
  <c r="S1748" i="2"/>
  <c r="S1749" i="2"/>
  <c r="S1750" i="2"/>
  <c r="S1751" i="2"/>
  <c r="S1752" i="2"/>
  <c r="S1753" i="2"/>
  <c r="S1754" i="2"/>
  <c r="S1755" i="2"/>
  <c r="S1756" i="2"/>
  <c r="S1757" i="2"/>
  <c r="S1758" i="2"/>
  <c r="S1759" i="2"/>
  <c r="S1760" i="2"/>
  <c r="S1761" i="2"/>
  <c r="S1762" i="2"/>
  <c r="S1763" i="2"/>
  <c r="S1764" i="2"/>
  <c r="S1765" i="2"/>
  <c r="S1766" i="2"/>
  <c r="S1767" i="2"/>
  <c r="S1768" i="2"/>
  <c r="S1769" i="2"/>
  <c r="S1770" i="2"/>
  <c r="S1771" i="2"/>
  <c r="S1772" i="2"/>
  <c r="S1773" i="2"/>
  <c r="S1774" i="2"/>
  <c r="S1775" i="2"/>
  <c r="S1776" i="2"/>
  <c r="S1777" i="2"/>
  <c r="S1778" i="2"/>
  <c r="S1779" i="2"/>
  <c r="S1780" i="2"/>
  <c r="S1781" i="2"/>
  <c r="S1782" i="2"/>
  <c r="S1783" i="2"/>
  <c r="S1784" i="2"/>
  <c r="S1785" i="2"/>
  <c r="S1786" i="2"/>
  <c r="S1787" i="2"/>
  <c r="S1788" i="2"/>
  <c r="S1789" i="2"/>
  <c r="S1790" i="2"/>
  <c r="S1791" i="2"/>
  <c r="S1792" i="2"/>
  <c r="S1793" i="2"/>
  <c r="S1794" i="2"/>
  <c r="S1795" i="2"/>
  <c r="S1796" i="2"/>
  <c r="S1797" i="2"/>
  <c r="S1798" i="2"/>
  <c r="S1799" i="2"/>
  <c r="S1800" i="2"/>
  <c r="S1801" i="2"/>
  <c r="S1802" i="2"/>
  <c r="S1803" i="2"/>
  <c r="S1804" i="2"/>
  <c r="S1805" i="2"/>
  <c r="S1806" i="2"/>
  <c r="S1807" i="2"/>
  <c r="S1808" i="2"/>
  <c r="S1809" i="2"/>
  <c r="S1810" i="2"/>
  <c r="S1811" i="2"/>
  <c r="S1812" i="2"/>
  <c r="S1813" i="2"/>
  <c r="S1814" i="2"/>
  <c r="S1815" i="2"/>
  <c r="S1816" i="2"/>
  <c r="S1817" i="2"/>
  <c r="S1818" i="2"/>
  <c r="S1819" i="2"/>
  <c r="S1820" i="2"/>
  <c r="S1821" i="2"/>
  <c r="S1822" i="2"/>
  <c r="S1823" i="2"/>
  <c r="S1824" i="2"/>
  <c r="S1825" i="2"/>
  <c r="S1826" i="2"/>
  <c r="S1827" i="2"/>
  <c r="S1828" i="2"/>
  <c r="S1829" i="2"/>
  <c r="S1830" i="2"/>
  <c r="S1831" i="2"/>
  <c r="S1832" i="2"/>
  <c r="S1833" i="2"/>
  <c r="S1834" i="2"/>
  <c r="S1835" i="2"/>
  <c r="S1836" i="2"/>
  <c r="S1837" i="2"/>
  <c r="S1838" i="2"/>
  <c r="S1839" i="2"/>
  <c r="S1840" i="2"/>
  <c r="S1841" i="2"/>
  <c r="S1842" i="2"/>
  <c r="S1843" i="2"/>
  <c r="S1844" i="2"/>
  <c r="S1845" i="2"/>
  <c r="S1846" i="2"/>
  <c r="S1847" i="2"/>
  <c r="S1848" i="2"/>
  <c r="S1849" i="2"/>
  <c r="S1850" i="2"/>
  <c r="S1851" i="2"/>
  <c r="S1852" i="2"/>
  <c r="S1853" i="2"/>
  <c r="S1854" i="2"/>
  <c r="S1855" i="2"/>
  <c r="S1856" i="2"/>
  <c r="S1857" i="2"/>
  <c r="S1858" i="2"/>
  <c r="S1859" i="2"/>
  <c r="S1860" i="2"/>
  <c r="S1861" i="2"/>
  <c r="S1862" i="2"/>
  <c r="S1863" i="2"/>
  <c r="S1864" i="2"/>
  <c r="S1865" i="2"/>
  <c r="S1866" i="2"/>
  <c r="S1867" i="2"/>
  <c r="S1868" i="2"/>
  <c r="S1869" i="2"/>
  <c r="S1870" i="2"/>
  <c r="S1871" i="2"/>
  <c r="S1872" i="2"/>
  <c r="S1873" i="2"/>
  <c r="S1874" i="2"/>
  <c r="S1875" i="2"/>
  <c r="S1876" i="2"/>
  <c r="S1877" i="2"/>
  <c r="S1878" i="2"/>
  <c r="S1879" i="2"/>
  <c r="S1880" i="2"/>
  <c r="S1881" i="2"/>
  <c r="S1882" i="2"/>
  <c r="S1883" i="2"/>
  <c r="S1884" i="2"/>
  <c r="S1885" i="2"/>
  <c r="S1886" i="2"/>
  <c r="S1887" i="2"/>
  <c r="S1888" i="2"/>
  <c r="S1889" i="2"/>
  <c r="S1890" i="2"/>
  <c r="S1891" i="2"/>
  <c r="S1892" i="2"/>
  <c r="S1893" i="2"/>
  <c r="S1894" i="2"/>
  <c r="S1895" i="2"/>
  <c r="S1896" i="2"/>
  <c r="S1897" i="2"/>
  <c r="S1898" i="2"/>
  <c r="S1899" i="2"/>
  <c r="S1900" i="2"/>
  <c r="S1901" i="2"/>
  <c r="S1902" i="2"/>
  <c r="S1903" i="2"/>
  <c r="S1904" i="2"/>
  <c r="S1905" i="2"/>
  <c r="S1906" i="2"/>
  <c r="S1907" i="2"/>
  <c r="S1908" i="2"/>
  <c r="S1909" i="2"/>
  <c r="S1910" i="2"/>
  <c r="S1911" i="2"/>
  <c r="S1912" i="2"/>
  <c r="S1913" i="2"/>
  <c r="S1914" i="2"/>
  <c r="S1915" i="2"/>
  <c r="S1916" i="2"/>
  <c r="S1917" i="2"/>
  <c r="S1918" i="2"/>
  <c r="S1919" i="2"/>
  <c r="S1920" i="2"/>
  <c r="S1921" i="2"/>
  <c r="S1922" i="2"/>
  <c r="S1923" i="2"/>
  <c r="S1924" i="2"/>
  <c r="S1925" i="2"/>
  <c r="S1926" i="2"/>
  <c r="S1927" i="2"/>
  <c r="S1928" i="2"/>
  <c r="S1929" i="2"/>
  <c r="S1930" i="2"/>
  <c r="S1931" i="2"/>
  <c r="S1932" i="2"/>
  <c r="S1933" i="2"/>
  <c r="S1934" i="2"/>
  <c r="S1935" i="2"/>
  <c r="S1936" i="2"/>
  <c r="S1937" i="2"/>
  <c r="S1938" i="2"/>
  <c r="S1939" i="2"/>
  <c r="S1940" i="2"/>
  <c r="S1941" i="2"/>
  <c r="S1942" i="2"/>
  <c r="S1943" i="2"/>
  <c r="S1944" i="2"/>
  <c r="S1945" i="2"/>
  <c r="S1946" i="2"/>
  <c r="S1947" i="2"/>
  <c r="S1948" i="2"/>
  <c r="S1949" i="2"/>
  <c r="S1950" i="2"/>
  <c r="S1951" i="2"/>
  <c r="S1952" i="2"/>
  <c r="S1953" i="2"/>
  <c r="S1954" i="2"/>
  <c r="S1955" i="2"/>
  <c r="S1956" i="2"/>
  <c r="S1957" i="2"/>
  <c r="S1958" i="2"/>
  <c r="S1959" i="2"/>
  <c r="S1960" i="2"/>
  <c r="S1961" i="2"/>
  <c r="S1962" i="2"/>
  <c r="S1963" i="2"/>
  <c r="S1964" i="2"/>
  <c r="S1965" i="2"/>
  <c r="S1966" i="2"/>
  <c r="S1967" i="2"/>
  <c r="S1968" i="2"/>
  <c r="S1969" i="2"/>
  <c r="S1970" i="2"/>
  <c r="S1971" i="2"/>
  <c r="S1972" i="2"/>
  <c r="S1973" i="2"/>
  <c r="S1974" i="2"/>
  <c r="S1975" i="2"/>
  <c r="S1976" i="2"/>
  <c r="S1977" i="2"/>
  <c r="S1978" i="2"/>
  <c r="S1979" i="2"/>
  <c r="S1980" i="2"/>
  <c r="S1981" i="2"/>
  <c r="S1982" i="2"/>
  <c r="S1983" i="2"/>
  <c r="S1984" i="2"/>
  <c r="S1985" i="2"/>
  <c r="S1986" i="2"/>
  <c r="S1987" i="2"/>
  <c r="S1988" i="2"/>
  <c r="S1989" i="2"/>
  <c r="S1990" i="2"/>
  <c r="S1991" i="2"/>
  <c r="S1992" i="2"/>
  <c r="S1993" i="2"/>
  <c r="S1994" i="2"/>
  <c r="S1995" i="2"/>
  <c r="S1996" i="2"/>
  <c r="S1997" i="2"/>
  <c r="S1998" i="2"/>
  <c r="S1999" i="2"/>
  <c r="S2000" i="2"/>
  <c r="S2001" i="2"/>
  <c r="S2002" i="2"/>
  <c r="S2003" i="2"/>
  <c r="S2004" i="2"/>
  <c r="S2005" i="2"/>
  <c r="S2006" i="2"/>
  <c r="S2007" i="2"/>
  <c r="S2008" i="2"/>
  <c r="S2009" i="2"/>
  <c r="S2010" i="2"/>
  <c r="S2011" i="2"/>
  <c r="S2012" i="2"/>
  <c r="S2013" i="2"/>
  <c r="S2014" i="2"/>
  <c r="S2015" i="2"/>
  <c r="S2016" i="2"/>
  <c r="S2017" i="2"/>
  <c r="S2018" i="2"/>
  <c r="S2019" i="2"/>
  <c r="S2020" i="2"/>
  <c r="S2021" i="2"/>
  <c r="S2022" i="2"/>
  <c r="S2023" i="2"/>
  <c r="S2024" i="2"/>
  <c r="S2025" i="2"/>
  <c r="S2026" i="2"/>
  <c r="S2027" i="2"/>
  <c r="S2028" i="2"/>
  <c r="S2029" i="2"/>
  <c r="S2030" i="2"/>
  <c r="S2031" i="2"/>
  <c r="S2032" i="2"/>
  <c r="S2033" i="2"/>
  <c r="S2034" i="2"/>
  <c r="S2035" i="2"/>
  <c r="S2036" i="2"/>
  <c r="S2037" i="2"/>
  <c r="S2038" i="2"/>
  <c r="S2039" i="2"/>
  <c r="S2040" i="2"/>
  <c r="S2041" i="2"/>
  <c r="S2042" i="2"/>
  <c r="S2043" i="2"/>
  <c r="S2044" i="2"/>
  <c r="S2045" i="2"/>
  <c r="S2046" i="2"/>
  <c r="S2047" i="2"/>
  <c r="S2048" i="2"/>
  <c r="S2049" i="2"/>
  <c r="S2050" i="2"/>
  <c r="S2051" i="2"/>
  <c r="S2052" i="2"/>
  <c r="S2053" i="2"/>
  <c r="S2054" i="2"/>
  <c r="S2055" i="2"/>
  <c r="S2056" i="2"/>
  <c r="S2057" i="2"/>
  <c r="S2058" i="2"/>
  <c r="S2059" i="2"/>
  <c r="S2060" i="2"/>
  <c r="S2061" i="2"/>
  <c r="S2062" i="2"/>
  <c r="S2063" i="2"/>
  <c r="S2064" i="2"/>
  <c r="S2065" i="2"/>
  <c r="S2066" i="2"/>
  <c r="S2067" i="2"/>
  <c r="S2068" i="2"/>
  <c r="S2069" i="2"/>
  <c r="S2070" i="2"/>
  <c r="S2071" i="2"/>
  <c r="S2072" i="2"/>
  <c r="S2073" i="2"/>
  <c r="S2074" i="2"/>
  <c r="S2075" i="2"/>
  <c r="S2076" i="2"/>
  <c r="S2077" i="2"/>
  <c r="S2078" i="2"/>
  <c r="S2079" i="2"/>
  <c r="S2080" i="2"/>
  <c r="S2081" i="2"/>
  <c r="S2082" i="2"/>
  <c r="S2083" i="2"/>
  <c r="S2084" i="2"/>
  <c r="S2085" i="2"/>
  <c r="S2086" i="2"/>
  <c r="S2087" i="2"/>
  <c r="S2088" i="2"/>
  <c r="S2089" i="2"/>
  <c r="S2090" i="2"/>
  <c r="S2091" i="2"/>
  <c r="S2092" i="2"/>
  <c r="S2093" i="2"/>
  <c r="S2094" i="2"/>
  <c r="S2095" i="2"/>
  <c r="S2096" i="2"/>
  <c r="S2097" i="2"/>
  <c r="S2098" i="2"/>
  <c r="S2099" i="2"/>
  <c r="S2100" i="2"/>
  <c r="S2101" i="2"/>
  <c r="S2102" i="2"/>
  <c r="S2103" i="2"/>
  <c r="S2104" i="2"/>
  <c r="S2105" i="2"/>
  <c r="S2106" i="2"/>
  <c r="S2107" i="2"/>
  <c r="S2108" i="2"/>
  <c r="S2109" i="2"/>
  <c r="S2110" i="2"/>
  <c r="S2111" i="2"/>
  <c r="S2112" i="2"/>
  <c r="S2113" i="2"/>
  <c r="S2114" i="2"/>
  <c r="S2115" i="2"/>
  <c r="S2116" i="2"/>
  <c r="S2117" i="2"/>
  <c r="S2118" i="2"/>
  <c r="S2119" i="2"/>
  <c r="S2120" i="2"/>
  <c r="S2121" i="2"/>
  <c r="S2122" i="2"/>
  <c r="S2123" i="2"/>
  <c r="S2124" i="2"/>
  <c r="S2125" i="2"/>
  <c r="S2126" i="2"/>
  <c r="S2127" i="2"/>
  <c r="S2128" i="2"/>
  <c r="S2129" i="2"/>
  <c r="S2130" i="2"/>
  <c r="S2131" i="2"/>
  <c r="S2132" i="2"/>
  <c r="S2133" i="2"/>
  <c r="S2134" i="2"/>
  <c r="S2135" i="2"/>
  <c r="S2136" i="2"/>
  <c r="S2137" i="2"/>
  <c r="S2138" i="2"/>
  <c r="S2139" i="2"/>
  <c r="S2140" i="2"/>
  <c r="S2141" i="2"/>
  <c r="S2142" i="2"/>
  <c r="S2143" i="2"/>
  <c r="S2144" i="2"/>
  <c r="S2145" i="2"/>
  <c r="S2146" i="2"/>
  <c r="S2147" i="2"/>
  <c r="S2148" i="2"/>
  <c r="S2149" i="2"/>
  <c r="S2150" i="2"/>
  <c r="S2151" i="2"/>
  <c r="S2152" i="2"/>
  <c r="S2153" i="2"/>
  <c r="S2154" i="2"/>
  <c r="S2155" i="2"/>
  <c r="S2156" i="2"/>
  <c r="S2157" i="2"/>
  <c r="S2158" i="2"/>
  <c r="S2159" i="2"/>
  <c r="S2160" i="2"/>
  <c r="S2161" i="2"/>
  <c r="S2162" i="2"/>
  <c r="S2163" i="2"/>
  <c r="S2164" i="2"/>
  <c r="S2165" i="2"/>
  <c r="S2166" i="2"/>
  <c r="S2167" i="2"/>
  <c r="S2168" i="2"/>
  <c r="S2169" i="2"/>
  <c r="S2170" i="2"/>
  <c r="S2171" i="2"/>
  <c r="S2172" i="2"/>
  <c r="S2173" i="2"/>
  <c r="S2174" i="2"/>
  <c r="S2175" i="2"/>
  <c r="S2176" i="2"/>
  <c r="S2177" i="2"/>
  <c r="S2178" i="2"/>
  <c r="S2179" i="2"/>
  <c r="S2180" i="2"/>
  <c r="S2181" i="2"/>
  <c r="S2182" i="2"/>
  <c r="S2183" i="2"/>
  <c r="S2184" i="2"/>
  <c r="S2185" i="2"/>
  <c r="S2186" i="2"/>
  <c r="S2187" i="2"/>
  <c r="S2188" i="2"/>
  <c r="S2189" i="2"/>
  <c r="S2190" i="2"/>
  <c r="S2191" i="2"/>
  <c r="S2192" i="2"/>
  <c r="S2193" i="2"/>
  <c r="S2194" i="2"/>
  <c r="S2195" i="2"/>
  <c r="S2196" i="2"/>
  <c r="S2197" i="2"/>
  <c r="S2198" i="2"/>
  <c r="S2199" i="2"/>
  <c r="S2200" i="2"/>
  <c r="S2201" i="2"/>
  <c r="S2202" i="2"/>
  <c r="S2203" i="2"/>
  <c r="S2204" i="2"/>
  <c r="S2205" i="2"/>
  <c r="S2206" i="2"/>
  <c r="S2207" i="2"/>
  <c r="S2208" i="2"/>
  <c r="S2209" i="2"/>
  <c r="S2210" i="2"/>
  <c r="S2211" i="2"/>
  <c r="S2212" i="2"/>
  <c r="S2213" i="2"/>
  <c r="S2214" i="2"/>
  <c r="S2215" i="2"/>
  <c r="S2216" i="2"/>
  <c r="S2217" i="2"/>
  <c r="S2218" i="2"/>
  <c r="S2219" i="2"/>
  <c r="S2220" i="2"/>
  <c r="S2221" i="2"/>
  <c r="S2222" i="2"/>
  <c r="S2223" i="2"/>
  <c r="S2224" i="2"/>
  <c r="S2225" i="2"/>
  <c r="S2226" i="2"/>
  <c r="S2227" i="2"/>
  <c r="S2228" i="2"/>
  <c r="S2229" i="2"/>
  <c r="S2230" i="2"/>
  <c r="S2231" i="2"/>
  <c r="S2232" i="2"/>
  <c r="S2233" i="2"/>
  <c r="S2234" i="2"/>
  <c r="S2235" i="2"/>
  <c r="S2236" i="2"/>
  <c r="S2237" i="2"/>
  <c r="S2238" i="2"/>
  <c r="S2239" i="2"/>
  <c r="S2240" i="2"/>
  <c r="S2241" i="2"/>
  <c r="S2242" i="2"/>
  <c r="S2243" i="2"/>
  <c r="S2244" i="2"/>
  <c r="S2245" i="2"/>
  <c r="S2246" i="2"/>
  <c r="S2247" i="2"/>
  <c r="S2248" i="2"/>
  <c r="S2249" i="2"/>
  <c r="S2250" i="2"/>
  <c r="S2251" i="2"/>
  <c r="S2252" i="2"/>
  <c r="S2253" i="2"/>
  <c r="S2254" i="2"/>
  <c r="S2255" i="2"/>
  <c r="S2256" i="2"/>
  <c r="S2257" i="2"/>
  <c r="S2258" i="2"/>
  <c r="S2259" i="2"/>
  <c r="S2260" i="2"/>
  <c r="S2261" i="2"/>
  <c r="S2262" i="2"/>
  <c r="S2263" i="2"/>
  <c r="S2264" i="2"/>
  <c r="S2265" i="2"/>
  <c r="S2266" i="2"/>
  <c r="S2267" i="2"/>
  <c r="S2268" i="2"/>
  <c r="S2269" i="2"/>
  <c r="S2270" i="2"/>
  <c r="S2271" i="2"/>
  <c r="S2272" i="2"/>
  <c r="S2273" i="2"/>
  <c r="S2274" i="2"/>
  <c r="S2275" i="2"/>
  <c r="S2276" i="2"/>
  <c r="S2277" i="2"/>
  <c r="S2278" i="2"/>
  <c r="S2279" i="2"/>
  <c r="S2280" i="2"/>
  <c r="S2281" i="2"/>
  <c r="S2282" i="2"/>
  <c r="S2283" i="2"/>
  <c r="S2284" i="2"/>
  <c r="S2285" i="2"/>
  <c r="S2286" i="2"/>
  <c r="S2287" i="2"/>
  <c r="S2288" i="2"/>
  <c r="S2289" i="2"/>
  <c r="S2290" i="2"/>
  <c r="S2291" i="2"/>
  <c r="S2292" i="2"/>
  <c r="S2293" i="2"/>
  <c r="S2294" i="2"/>
  <c r="S2295" i="2"/>
  <c r="S2296" i="2"/>
  <c r="S2297" i="2"/>
  <c r="S2298" i="2"/>
  <c r="S2299" i="2"/>
  <c r="S2300" i="2"/>
  <c r="S2301" i="2"/>
  <c r="S2302" i="2"/>
  <c r="S2303" i="2"/>
  <c r="S2304" i="2"/>
  <c r="S2305" i="2"/>
  <c r="S2306" i="2"/>
  <c r="S2307" i="2"/>
  <c r="S2308" i="2"/>
  <c r="S2309" i="2"/>
  <c r="S2310" i="2"/>
  <c r="S2311" i="2"/>
  <c r="S2312" i="2"/>
  <c r="S2313" i="2"/>
  <c r="S2314" i="2"/>
  <c r="S2315" i="2"/>
  <c r="S2316" i="2"/>
  <c r="S2317" i="2"/>
  <c r="S2318" i="2"/>
  <c r="S2319" i="2"/>
  <c r="S2320" i="2"/>
  <c r="S2321" i="2"/>
  <c r="S2322" i="2"/>
  <c r="S2323" i="2"/>
  <c r="S2324" i="2"/>
  <c r="S2325" i="2"/>
  <c r="S2326" i="2"/>
  <c r="S2327" i="2"/>
  <c r="S2328" i="2"/>
  <c r="S2329" i="2"/>
  <c r="S2330" i="2"/>
  <c r="S2331" i="2"/>
  <c r="S2332" i="2"/>
  <c r="S2333" i="2"/>
  <c r="S2334" i="2"/>
  <c r="S2335" i="2"/>
  <c r="S2336" i="2"/>
  <c r="S2337" i="2"/>
  <c r="S2338" i="2"/>
  <c r="S2339" i="2"/>
  <c r="S2340" i="2"/>
  <c r="S2341" i="2"/>
  <c r="S2342" i="2"/>
  <c r="S2343" i="2"/>
  <c r="S2344" i="2"/>
  <c r="S2345" i="2"/>
  <c r="S2346" i="2"/>
  <c r="S2347" i="2"/>
  <c r="S2348" i="2"/>
  <c r="S2349" i="2"/>
  <c r="S2350" i="2"/>
  <c r="S2351" i="2"/>
  <c r="S2352" i="2"/>
  <c r="S2353" i="2"/>
  <c r="S2354" i="2"/>
  <c r="S2355" i="2"/>
  <c r="S2356" i="2"/>
  <c r="S2357" i="2"/>
  <c r="S2358" i="2"/>
  <c r="S2359" i="2"/>
  <c r="S2360" i="2"/>
  <c r="S2361" i="2"/>
  <c r="S2362" i="2"/>
  <c r="S2363" i="2"/>
  <c r="S2364" i="2"/>
  <c r="S2365" i="2"/>
  <c r="S2366" i="2"/>
  <c r="S2367" i="2"/>
  <c r="S2368" i="2"/>
  <c r="S2369" i="2"/>
  <c r="S2370" i="2"/>
  <c r="S2371" i="2"/>
  <c r="S2372" i="2"/>
  <c r="S2373" i="2"/>
  <c r="S2374" i="2"/>
  <c r="S2375" i="2"/>
  <c r="S2376" i="2"/>
  <c r="S2377" i="2"/>
  <c r="S2378" i="2"/>
  <c r="S2379" i="2"/>
  <c r="S2380" i="2"/>
  <c r="S2381" i="2"/>
  <c r="S2382" i="2"/>
  <c r="S2383" i="2"/>
  <c r="S2384" i="2"/>
  <c r="S2385" i="2"/>
  <c r="S2386" i="2"/>
  <c r="S2387" i="2"/>
  <c r="S2388" i="2"/>
  <c r="S2389" i="2"/>
  <c r="S2390" i="2"/>
  <c r="S2391" i="2"/>
  <c r="S2392" i="2"/>
  <c r="S2393" i="2"/>
  <c r="S2394" i="2"/>
  <c r="S2395" i="2"/>
  <c r="S2396" i="2"/>
  <c r="S2397" i="2"/>
  <c r="S2398" i="2"/>
  <c r="S2399" i="2"/>
  <c r="S2400" i="2"/>
  <c r="S2401" i="2"/>
  <c r="S2402" i="2"/>
  <c r="S2403" i="2"/>
  <c r="S2404" i="2"/>
  <c r="S2405" i="2"/>
  <c r="S2406" i="2"/>
  <c r="S2407" i="2"/>
  <c r="S2408" i="2"/>
  <c r="S2409" i="2"/>
  <c r="S2410" i="2"/>
  <c r="S2411" i="2"/>
  <c r="S2412" i="2"/>
  <c r="S2413" i="2"/>
  <c r="S2414" i="2"/>
  <c r="S2415" i="2"/>
  <c r="S2416" i="2"/>
  <c r="S2417" i="2"/>
  <c r="S2418" i="2"/>
  <c r="S2419" i="2"/>
  <c r="S2420" i="2"/>
  <c r="S2421" i="2"/>
  <c r="S2422" i="2"/>
  <c r="S2423" i="2"/>
  <c r="S2424" i="2"/>
  <c r="S2425" i="2"/>
  <c r="S2426" i="2"/>
  <c r="S2427" i="2"/>
  <c r="S2428" i="2"/>
  <c r="S2429" i="2"/>
  <c r="S2430" i="2"/>
  <c r="S2431" i="2"/>
  <c r="S2432" i="2"/>
  <c r="S2433" i="2"/>
  <c r="S2434" i="2"/>
  <c r="S2435" i="2"/>
  <c r="S2436" i="2"/>
  <c r="S2437" i="2"/>
  <c r="S2438" i="2"/>
  <c r="S2439" i="2"/>
  <c r="S2440" i="2"/>
  <c r="S2441" i="2"/>
  <c r="S2442" i="2"/>
  <c r="S2443" i="2"/>
  <c r="S2444" i="2"/>
  <c r="S2445" i="2"/>
  <c r="S2446" i="2"/>
  <c r="S2447" i="2"/>
  <c r="S2448" i="2"/>
  <c r="S2449" i="2"/>
  <c r="S2450" i="2"/>
  <c r="S2451" i="2"/>
  <c r="S2452" i="2"/>
  <c r="S2453" i="2"/>
  <c r="S2454" i="2"/>
  <c r="S2455" i="2"/>
  <c r="S2456" i="2"/>
  <c r="S2457" i="2"/>
  <c r="S2458" i="2"/>
  <c r="S2459" i="2"/>
  <c r="S2460" i="2"/>
  <c r="S2461" i="2"/>
  <c r="S2462" i="2"/>
  <c r="S2463" i="2"/>
  <c r="S2464" i="2"/>
  <c r="S2465" i="2"/>
  <c r="S2466" i="2"/>
  <c r="S2467" i="2"/>
  <c r="S2468" i="2"/>
  <c r="S2469" i="2"/>
  <c r="S2470" i="2"/>
  <c r="S2471" i="2"/>
  <c r="S2472" i="2"/>
  <c r="S2473" i="2"/>
  <c r="S2474" i="2"/>
  <c r="S2475" i="2"/>
  <c r="S2476" i="2"/>
  <c r="S2477" i="2"/>
  <c r="S2478" i="2"/>
  <c r="S2479" i="2"/>
  <c r="S2480" i="2"/>
  <c r="S2481" i="2"/>
  <c r="S2482" i="2"/>
  <c r="S2483" i="2"/>
  <c r="S2484" i="2"/>
  <c r="S2485" i="2"/>
  <c r="S2486" i="2"/>
  <c r="S2487" i="2"/>
  <c r="S2488" i="2"/>
  <c r="S2489" i="2"/>
  <c r="S2490" i="2"/>
  <c r="S2491" i="2"/>
  <c r="S2492" i="2"/>
  <c r="S2493" i="2"/>
  <c r="S2494" i="2"/>
  <c r="S2495" i="2"/>
  <c r="S2496" i="2"/>
  <c r="S2497" i="2"/>
  <c r="S2498" i="2"/>
  <c r="S2499" i="2"/>
  <c r="S2500" i="2"/>
  <c r="S2501" i="2"/>
  <c r="S2502" i="2"/>
  <c r="S2503" i="2"/>
  <c r="S2504" i="2"/>
  <c r="S2505" i="2"/>
  <c r="S2506" i="2"/>
  <c r="S2507" i="2"/>
  <c r="S2508" i="2"/>
  <c r="S2509" i="2"/>
  <c r="S2510" i="2"/>
  <c r="S2511" i="2"/>
  <c r="S2512" i="2"/>
  <c r="S2513" i="2"/>
  <c r="S2514" i="2"/>
  <c r="S2515" i="2"/>
  <c r="S2516" i="2"/>
  <c r="S2517" i="2"/>
  <c r="S2518" i="2"/>
  <c r="S2519" i="2"/>
  <c r="S2520" i="2"/>
  <c r="S2521" i="2"/>
  <c r="S2522" i="2"/>
  <c r="S2523" i="2"/>
  <c r="S2524" i="2"/>
  <c r="S2525" i="2"/>
  <c r="S2526" i="2"/>
  <c r="S2527" i="2"/>
  <c r="S2528" i="2"/>
  <c r="S2529" i="2"/>
  <c r="S2530" i="2"/>
  <c r="S2531" i="2"/>
  <c r="S2532" i="2"/>
  <c r="S2533" i="2"/>
  <c r="S2534" i="2"/>
  <c r="S2535" i="2"/>
  <c r="S2536" i="2"/>
  <c r="S2537" i="2"/>
  <c r="S2538" i="2"/>
  <c r="S2539" i="2"/>
  <c r="S2540" i="2"/>
  <c r="S2541" i="2"/>
  <c r="S2542" i="2"/>
  <c r="S2543" i="2"/>
  <c r="S2544" i="2"/>
  <c r="S2545" i="2"/>
  <c r="S2546" i="2"/>
  <c r="S2547" i="2"/>
  <c r="S2548" i="2"/>
  <c r="S2549" i="2"/>
  <c r="S2550" i="2"/>
  <c r="S2551" i="2"/>
  <c r="S2552" i="2"/>
  <c r="S2553" i="2"/>
  <c r="S2554" i="2"/>
  <c r="S2555" i="2"/>
  <c r="S2556" i="2"/>
  <c r="S2557" i="2"/>
  <c r="S2558" i="2"/>
  <c r="S2559" i="2"/>
  <c r="S2560" i="2"/>
  <c r="S2561" i="2"/>
  <c r="S2562" i="2"/>
  <c r="S2563" i="2"/>
  <c r="S2564" i="2"/>
  <c r="S2565" i="2"/>
  <c r="S2566" i="2"/>
  <c r="S2567" i="2"/>
  <c r="S2568" i="2"/>
  <c r="S2569" i="2"/>
  <c r="S2570" i="2"/>
  <c r="S2571" i="2"/>
  <c r="S2572" i="2"/>
  <c r="S2573" i="2"/>
  <c r="S2574" i="2"/>
  <c r="S2575" i="2"/>
  <c r="S2576" i="2"/>
  <c r="S2577" i="2"/>
  <c r="S2578" i="2"/>
  <c r="S2579" i="2"/>
  <c r="S2580" i="2"/>
  <c r="S2581" i="2"/>
  <c r="S2582" i="2"/>
  <c r="S2583" i="2"/>
  <c r="S2584" i="2"/>
  <c r="S2585" i="2"/>
  <c r="S2586" i="2"/>
  <c r="S2587" i="2"/>
  <c r="S2588" i="2"/>
  <c r="S2589" i="2"/>
  <c r="S2590" i="2"/>
  <c r="S2591" i="2"/>
  <c r="S2592" i="2"/>
  <c r="S2593" i="2"/>
  <c r="S2594" i="2"/>
  <c r="S2595" i="2"/>
  <c r="S2596" i="2"/>
  <c r="S2597" i="2"/>
  <c r="S2598" i="2"/>
  <c r="S2599" i="2"/>
  <c r="S2600" i="2"/>
  <c r="S2601" i="2"/>
  <c r="S2602" i="2"/>
  <c r="S2603" i="2"/>
  <c r="S2604" i="2"/>
  <c r="S2605" i="2"/>
  <c r="S2606" i="2"/>
  <c r="S2607" i="2"/>
  <c r="S2608" i="2"/>
  <c r="S2609" i="2"/>
  <c r="S2610" i="2"/>
  <c r="S2611" i="2"/>
  <c r="S2612" i="2"/>
  <c r="S2613" i="2"/>
  <c r="S2614" i="2"/>
  <c r="S2615" i="2"/>
  <c r="S2616" i="2"/>
  <c r="S2617" i="2"/>
  <c r="S2618" i="2"/>
  <c r="S2619" i="2"/>
  <c r="S2620" i="2"/>
  <c r="S2621" i="2"/>
  <c r="S2622" i="2"/>
  <c r="S2623" i="2"/>
  <c r="S2624" i="2"/>
  <c r="S2625" i="2"/>
  <c r="S2626" i="2"/>
  <c r="S2627" i="2"/>
  <c r="S2628" i="2"/>
  <c r="S2629" i="2"/>
  <c r="S2630" i="2"/>
  <c r="S2631" i="2"/>
  <c r="S2632" i="2"/>
  <c r="S2633" i="2"/>
  <c r="S2634" i="2"/>
  <c r="S2635" i="2"/>
  <c r="S2636" i="2"/>
  <c r="S2637" i="2"/>
  <c r="S2638" i="2"/>
  <c r="S2639" i="2"/>
  <c r="S2640" i="2"/>
  <c r="S2641" i="2"/>
  <c r="S2642" i="2"/>
  <c r="S2643" i="2"/>
  <c r="S2644" i="2"/>
  <c r="S2645" i="2"/>
  <c r="S2646" i="2"/>
  <c r="S2647" i="2"/>
  <c r="S2648" i="2"/>
  <c r="S2649" i="2"/>
  <c r="S2650" i="2"/>
  <c r="S2651" i="2"/>
  <c r="S2652" i="2"/>
  <c r="S2653" i="2"/>
  <c r="S2654" i="2"/>
  <c r="S2655" i="2"/>
  <c r="S2656" i="2"/>
  <c r="S2657" i="2"/>
  <c r="S2658" i="2"/>
  <c r="S2659" i="2"/>
  <c r="S2660" i="2"/>
  <c r="S2661" i="2"/>
  <c r="S2662" i="2"/>
  <c r="S2663" i="2"/>
  <c r="S2664" i="2"/>
  <c r="S2665" i="2"/>
  <c r="S2666" i="2"/>
  <c r="S2667" i="2"/>
  <c r="S2668" i="2"/>
  <c r="S2669" i="2"/>
  <c r="S2670" i="2"/>
  <c r="S2671" i="2"/>
  <c r="S2672" i="2"/>
  <c r="S2673" i="2"/>
  <c r="S2674" i="2"/>
  <c r="S2675" i="2"/>
  <c r="S2676" i="2"/>
  <c r="S2677" i="2"/>
  <c r="S2678" i="2"/>
  <c r="S2679" i="2"/>
  <c r="S2680" i="2"/>
  <c r="S2681" i="2"/>
  <c r="S2682" i="2"/>
  <c r="S2683" i="2"/>
  <c r="S2684" i="2"/>
  <c r="S2685" i="2"/>
  <c r="S2686" i="2"/>
  <c r="S2687" i="2"/>
  <c r="S2688" i="2"/>
  <c r="S2689" i="2"/>
  <c r="S2690" i="2"/>
  <c r="S2691" i="2"/>
  <c r="S2692" i="2"/>
  <c r="S2693" i="2"/>
  <c r="S2694" i="2"/>
  <c r="S2695" i="2"/>
  <c r="S2696" i="2"/>
  <c r="S2697" i="2"/>
  <c r="S2698" i="2"/>
  <c r="S2699" i="2"/>
  <c r="S2700" i="2"/>
  <c r="S2701" i="2"/>
  <c r="S2702" i="2"/>
  <c r="S2703" i="2"/>
  <c r="S2704" i="2"/>
  <c r="S2705" i="2"/>
  <c r="S2706" i="2"/>
  <c r="S2707" i="2"/>
  <c r="S2708" i="2"/>
  <c r="S2709" i="2"/>
  <c r="S2710" i="2"/>
  <c r="S2711" i="2"/>
  <c r="S2712" i="2"/>
  <c r="S2713" i="2"/>
  <c r="S2714" i="2"/>
  <c r="S2715" i="2"/>
  <c r="S2716" i="2"/>
  <c r="S2717" i="2"/>
  <c r="S2718" i="2"/>
  <c r="S2719" i="2"/>
  <c r="S2720" i="2"/>
  <c r="S2721" i="2"/>
  <c r="S2722" i="2"/>
  <c r="S2723" i="2"/>
  <c r="S2724" i="2"/>
  <c r="S2725" i="2"/>
  <c r="S2726" i="2"/>
  <c r="S2727" i="2"/>
  <c r="S2728" i="2"/>
  <c r="S2729" i="2"/>
  <c r="S2730" i="2"/>
  <c r="S2731" i="2"/>
  <c r="S2732" i="2"/>
  <c r="S2733" i="2"/>
  <c r="S2734" i="2"/>
  <c r="S2735" i="2"/>
  <c r="S2736" i="2"/>
  <c r="S2737" i="2"/>
  <c r="S2738" i="2"/>
  <c r="S2739" i="2"/>
  <c r="S2740" i="2"/>
  <c r="S2741" i="2"/>
  <c r="S2742" i="2"/>
  <c r="S2743" i="2"/>
  <c r="S2744" i="2"/>
  <c r="S2745" i="2"/>
  <c r="S2746" i="2"/>
  <c r="S2747" i="2"/>
  <c r="S2748" i="2"/>
  <c r="S2749" i="2"/>
  <c r="S2750" i="2"/>
  <c r="S2751" i="2"/>
  <c r="S2752" i="2"/>
  <c r="S2753" i="2"/>
  <c r="S2754" i="2"/>
  <c r="S2755" i="2"/>
  <c r="S2756" i="2"/>
  <c r="S2757" i="2"/>
  <c r="S2758" i="2"/>
  <c r="S2759" i="2"/>
  <c r="S2760" i="2"/>
  <c r="S2761" i="2"/>
  <c r="S2762" i="2"/>
  <c r="S2763" i="2"/>
  <c r="S2764" i="2"/>
  <c r="S2765" i="2"/>
  <c r="S2766" i="2"/>
  <c r="S2767" i="2"/>
  <c r="S2768" i="2"/>
  <c r="S2769" i="2"/>
  <c r="S2770" i="2"/>
  <c r="S2771" i="2"/>
  <c r="S2772" i="2"/>
  <c r="S2773" i="2"/>
  <c r="S2774" i="2"/>
  <c r="S2775" i="2"/>
  <c r="S2776" i="2"/>
  <c r="S2777" i="2"/>
  <c r="S2778" i="2"/>
  <c r="S2779" i="2"/>
  <c r="S2780" i="2"/>
  <c r="S2781" i="2"/>
  <c r="S2782" i="2"/>
  <c r="S2783" i="2"/>
  <c r="S2784" i="2"/>
  <c r="S2785" i="2"/>
  <c r="S2786" i="2"/>
  <c r="S2787" i="2"/>
  <c r="S2788" i="2"/>
  <c r="S2789" i="2"/>
  <c r="S2790" i="2"/>
  <c r="S2791" i="2"/>
  <c r="S2792" i="2"/>
  <c r="S2793" i="2"/>
  <c r="S2794" i="2"/>
  <c r="S2795" i="2"/>
  <c r="S2796" i="2"/>
  <c r="S2797" i="2"/>
  <c r="S2798" i="2"/>
  <c r="S2799" i="2"/>
  <c r="S2800" i="2"/>
  <c r="S2801" i="2"/>
  <c r="S2802" i="2"/>
  <c r="S2803" i="2"/>
  <c r="S2804" i="2"/>
  <c r="S2805" i="2"/>
  <c r="S2806" i="2"/>
  <c r="S2807" i="2"/>
  <c r="S2808" i="2"/>
  <c r="S2809" i="2"/>
  <c r="S2810" i="2"/>
  <c r="S2811" i="2"/>
  <c r="S2812" i="2"/>
  <c r="S2813" i="2"/>
  <c r="S2814" i="2"/>
  <c r="S2815" i="2"/>
  <c r="S2816" i="2"/>
  <c r="S2817" i="2"/>
  <c r="S2818" i="2"/>
  <c r="S2819" i="2"/>
  <c r="S2820" i="2"/>
  <c r="S2821" i="2"/>
  <c r="S2822" i="2"/>
  <c r="S2823" i="2"/>
  <c r="S2824" i="2"/>
  <c r="S2825" i="2"/>
  <c r="S2826" i="2"/>
  <c r="S2827" i="2"/>
  <c r="S2828" i="2"/>
  <c r="S2829" i="2"/>
  <c r="S2830" i="2"/>
  <c r="S2831" i="2"/>
  <c r="S2832" i="2"/>
  <c r="S2833" i="2"/>
  <c r="S2834" i="2"/>
  <c r="S2835" i="2"/>
  <c r="S2836" i="2"/>
  <c r="S2837" i="2"/>
  <c r="S2838" i="2"/>
  <c r="S2839" i="2"/>
  <c r="S2840" i="2"/>
  <c r="S2841" i="2"/>
  <c r="S2842" i="2"/>
  <c r="S2843" i="2"/>
  <c r="S2844" i="2"/>
  <c r="S2845" i="2"/>
  <c r="S2846" i="2"/>
  <c r="S2847" i="2"/>
  <c r="S2848" i="2"/>
  <c r="S2849" i="2"/>
  <c r="S2850" i="2"/>
  <c r="S2851" i="2"/>
  <c r="S2852" i="2"/>
  <c r="S2853" i="2"/>
  <c r="S2854" i="2"/>
  <c r="S2855" i="2"/>
  <c r="S2856" i="2"/>
  <c r="S2857" i="2"/>
  <c r="S2858" i="2"/>
  <c r="S2859" i="2"/>
  <c r="S2860" i="2"/>
  <c r="S2861" i="2"/>
  <c r="S2862" i="2"/>
  <c r="S2863" i="2"/>
  <c r="S2864" i="2"/>
  <c r="S2865" i="2"/>
  <c r="S2866" i="2"/>
  <c r="S2867" i="2"/>
  <c r="S2868" i="2"/>
  <c r="S2869" i="2"/>
  <c r="S2870" i="2"/>
  <c r="S2871" i="2"/>
  <c r="S2872" i="2"/>
  <c r="S2873" i="2"/>
  <c r="S2874" i="2"/>
  <c r="S2875" i="2"/>
  <c r="S2876" i="2"/>
  <c r="S2877" i="2"/>
  <c r="S2878" i="2"/>
  <c r="S2879" i="2"/>
  <c r="S2880" i="2"/>
  <c r="S2881" i="2"/>
  <c r="S2882" i="2"/>
  <c r="S2883" i="2"/>
  <c r="S2884" i="2"/>
  <c r="S2885" i="2"/>
  <c r="S2886" i="2"/>
  <c r="S2887" i="2"/>
  <c r="S2888" i="2"/>
  <c r="S2889" i="2"/>
  <c r="S2890" i="2"/>
  <c r="S2891" i="2"/>
  <c r="S2892" i="2"/>
  <c r="S2893" i="2"/>
  <c r="S2894" i="2"/>
  <c r="S2895" i="2"/>
  <c r="S2896" i="2"/>
  <c r="S2897" i="2"/>
  <c r="S2898" i="2"/>
  <c r="S2899" i="2"/>
  <c r="S2900" i="2"/>
  <c r="S2901" i="2"/>
  <c r="S2902" i="2"/>
  <c r="S2903" i="2"/>
  <c r="S2904" i="2"/>
  <c r="S2905" i="2"/>
  <c r="S2906" i="2"/>
  <c r="S2907" i="2"/>
  <c r="S2908" i="2"/>
  <c r="S2909" i="2"/>
  <c r="S2910" i="2"/>
  <c r="S2911" i="2"/>
  <c r="S2912" i="2"/>
  <c r="S2913" i="2"/>
  <c r="S2914" i="2"/>
  <c r="S2915" i="2"/>
  <c r="S2916" i="2"/>
  <c r="S2917" i="2"/>
  <c r="S2918" i="2"/>
  <c r="S2919" i="2"/>
  <c r="S2920" i="2"/>
  <c r="S2921" i="2"/>
  <c r="S2922" i="2"/>
  <c r="S2923" i="2"/>
  <c r="S2924" i="2"/>
  <c r="S2925" i="2"/>
  <c r="S2926" i="2"/>
  <c r="S2927" i="2"/>
  <c r="S2928" i="2"/>
  <c r="S2929" i="2"/>
  <c r="S2930" i="2"/>
  <c r="S2931" i="2"/>
  <c r="S2932" i="2"/>
  <c r="S2933" i="2"/>
  <c r="S2934" i="2"/>
  <c r="S2935" i="2"/>
  <c r="S2936" i="2"/>
  <c r="S2937" i="2"/>
  <c r="S2938" i="2"/>
  <c r="S2939" i="2"/>
  <c r="S2940" i="2"/>
  <c r="S2941" i="2"/>
  <c r="S2942" i="2"/>
  <c r="S2943" i="2"/>
  <c r="S2944" i="2"/>
  <c r="S2945" i="2"/>
  <c r="S2946" i="2"/>
  <c r="S2947" i="2"/>
  <c r="S2948" i="2"/>
  <c r="S2949" i="2"/>
  <c r="S2950" i="2"/>
  <c r="S2951" i="2"/>
  <c r="S2952" i="2"/>
  <c r="S2953" i="2"/>
  <c r="S2954" i="2"/>
  <c r="S2955" i="2"/>
  <c r="S2956" i="2"/>
  <c r="S2957" i="2"/>
  <c r="S2958" i="2"/>
  <c r="S2959" i="2"/>
  <c r="S2960" i="2"/>
  <c r="S2961" i="2"/>
  <c r="S2962" i="2"/>
  <c r="S2963" i="2"/>
  <c r="S2964" i="2"/>
  <c r="S2965" i="2"/>
  <c r="S2966" i="2"/>
  <c r="S2967" i="2"/>
  <c r="S2968" i="2"/>
  <c r="S2969" i="2"/>
  <c r="S2970" i="2"/>
  <c r="S2971" i="2"/>
  <c r="S2972" i="2"/>
  <c r="S2973" i="2"/>
  <c r="S2974" i="2"/>
  <c r="S2975" i="2"/>
  <c r="S2976" i="2"/>
  <c r="S2977" i="2"/>
  <c r="S2978" i="2"/>
  <c r="S2979" i="2"/>
  <c r="S2980" i="2"/>
  <c r="S2981" i="2"/>
  <c r="S2982" i="2"/>
  <c r="S2983" i="2"/>
  <c r="S2984" i="2"/>
  <c r="S2985" i="2"/>
  <c r="S2986" i="2"/>
  <c r="S2987" i="2"/>
  <c r="S2988" i="2"/>
  <c r="S2989" i="2"/>
  <c r="S2990" i="2"/>
  <c r="S2991" i="2"/>
  <c r="S2992" i="2"/>
  <c r="S2993" i="2"/>
  <c r="S2994" i="2"/>
  <c r="S2995" i="2"/>
  <c r="S2996" i="2"/>
  <c r="S2997" i="2"/>
  <c r="S2998" i="2"/>
  <c r="S2999" i="2"/>
  <c r="S3000" i="2"/>
  <c r="S3001" i="2"/>
  <c r="S3002" i="2"/>
  <c r="S3003" i="2"/>
  <c r="S3004" i="2"/>
  <c r="S3005" i="2"/>
  <c r="S3006" i="2"/>
  <c r="S3007" i="2"/>
  <c r="S3008" i="2"/>
  <c r="S3009" i="2"/>
  <c r="S3010" i="2"/>
  <c r="S3011" i="2"/>
  <c r="S3012" i="2"/>
  <c r="S3013" i="2"/>
  <c r="S3014" i="2"/>
  <c r="S3015" i="2"/>
  <c r="S3016" i="2"/>
  <c r="S3017" i="2"/>
  <c r="S3018" i="2"/>
  <c r="S3019" i="2"/>
  <c r="S3020" i="2"/>
  <c r="S3021" i="2"/>
  <c r="S3022" i="2"/>
  <c r="S3023" i="2"/>
  <c r="S3024" i="2"/>
  <c r="S3025" i="2"/>
  <c r="S3026" i="2"/>
  <c r="S3027" i="2"/>
  <c r="S3028" i="2"/>
  <c r="S3029" i="2"/>
  <c r="S3030" i="2"/>
  <c r="S3031" i="2"/>
  <c r="S3032" i="2"/>
  <c r="S3033" i="2"/>
  <c r="S3034" i="2"/>
  <c r="S3035" i="2"/>
  <c r="S3036" i="2"/>
  <c r="S3037" i="2"/>
  <c r="S3038" i="2"/>
  <c r="S3039" i="2"/>
  <c r="S3040" i="2"/>
  <c r="S3041" i="2"/>
  <c r="S3042" i="2"/>
  <c r="S3043" i="2"/>
  <c r="S3044" i="2"/>
  <c r="S3045" i="2"/>
  <c r="S3046" i="2"/>
  <c r="S3047" i="2"/>
  <c r="S3048" i="2"/>
  <c r="S3049" i="2"/>
  <c r="S3050" i="2"/>
  <c r="S3051" i="2"/>
  <c r="S3052" i="2"/>
  <c r="S3053" i="2"/>
  <c r="S3054" i="2"/>
  <c r="S3055" i="2"/>
  <c r="S3056" i="2"/>
  <c r="S3057" i="2"/>
  <c r="S3058" i="2"/>
  <c r="S3059" i="2"/>
  <c r="S3060" i="2"/>
  <c r="S3061" i="2"/>
  <c r="S3062" i="2"/>
  <c r="S3063" i="2"/>
  <c r="S3064" i="2"/>
  <c r="S3065" i="2"/>
  <c r="S3066" i="2"/>
  <c r="S3067" i="2"/>
  <c r="S3068" i="2"/>
  <c r="S3069" i="2"/>
  <c r="S3070" i="2"/>
  <c r="S3071" i="2"/>
  <c r="S3072" i="2"/>
  <c r="S3073" i="2"/>
  <c r="S3074" i="2"/>
  <c r="S3075" i="2"/>
  <c r="S3076" i="2"/>
  <c r="S3077" i="2"/>
  <c r="S3078" i="2"/>
  <c r="S3079" i="2"/>
  <c r="S3080" i="2"/>
  <c r="S3081" i="2"/>
  <c r="S3082" i="2"/>
  <c r="S3083" i="2"/>
  <c r="S3084" i="2"/>
  <c r="S3085" i="2"/>
  <c r="S3086" i="2"/>
  <c r="S3087" i="2"/>
  <c r="S3088" i="2"/>
  <c r="S3089" i="2"/>
  <c r="S3090" i="2"/>
  <c r="S3091" i="2"/>
  <c r="S3092" i="2"/>
  <c r="S3093" i="2"/>
  <c r="S3094" i="2"/>
  <c r="S3095" i="2"/>
  <c r="S3096" i="2"/>
  <c r="S3097" i="2"/>
  <c r="S3098" i="2"/>
  <c r="S3099" i="2"/>
  <c r="S3100" i="2"/>
  <c r="S3101" i="2"/>
  <c r="S3102" i="2"/>
  <c r="S3103" i="2"/>
  <c r="S3104" i="2"/>
  <c r="S3105" i="2"/>
  <c r="S3106" i="2"/>
  <c r="S3107" i="2"/>
  <c r="S3108" i="2"/>
  <c r="S3109" i="2"/>
  <c r="S3110" i="2"/>
  <c r="S3111" i="2"/>
  <c r="S3112" i="2"/>
  <c r="S3113" i="2"/>
  <c r="S3114" i="2"/>
  <c r="S3115" i="2"/>
  <c r="S3116" i="2"/>
  <c r="S3117" i="2"/>
  <c r="S3118" i="2"/>
  <c r="S3119" i="2"/>
  <c r="S3120" i="2"/>
  <c r="S3121" i="2"/>
  <c r="S3122" i="2"/>
  <c r="S3123" i="2"/>
  <c r="S3124" i="2"/>
  <c r="S3125" i="2"/>
  <c r="S3126" i="2"/>
  <c r="S3127" i="2"/>
  <c r="S3128" i="2"/>
  <c r="S3129" i="2"/>
  <c r="S3130" i="2"/>
  <c r="S3131" i="2"/>
  <c r="S3132" i="2"/>
  <c r="S3133" i="2"/>
  <c r="S3134" i="2"/>
  <c r="S3135" i="2"/>
  <c r="S3136" i="2"/>
  <c r="S3137" i="2"/>
  <c r="S3138" i="2"/>
  <c r="S3139" i="2"/>
  <c r="S3140" i="2"/>
  <c r="S3141" i="2"/>
  <c r="S3142" i="2"/>
  <c r="S3143" i="2"/>
  <c r="S3144" i="2"/>
  <c r="S3145" i="2"/>
  <c r="S3146" i="2"/>
  <c r="S3147" i="2"/>
  <c r="S3148" i="2"/>
  <c r="S3149" i="2"/>
  <c r="S3150" i="2"/>
  <c r="S3151" i="2"/>
  <c r="S3152" i="2"/>
  <c r="S3153" i="2"/>
  <c r="S3154" i="2"/>
  <c r="S3155" i="2"/>
  <c r="S3156" i="2"/>
  <c r="S3157" i="2"/>
  <c r="S3158" i="2"/>
  <c r="S3159" i="2"/>
  <c r="S3160" i="2"/>
  <c r="S3161" i="2"/>
  <c r="S3162" i="2"/>
  <c r="S3163" i="2"/>
  <c r="S3164" i="2"/>
  <c r="S3165" i="2"/>
  <c r="S3166" i="2"/>
  <c r="S3167" i="2"/>
  <c r="S3168" i="2"/>
  <c r="S3169" i="2"/>
  <c r="S3170" i="2"/>
  <c r="S3171" i="2"/>
  <c r="S3172" i="2"/>
  <c r="S3173" i="2"/>
  <c r="S3174" i="2"/>
  <c r="S3175" i="2"/>
  <c r="S3176" i="2"/>
  <c r="S3177" i="2"/>
  <c r="S3178" i="2"/>
  <c r="S3179" i="2"/>
  <c r="S3180" i="2"/>
  <c r="S3181" i="2"/>
  <c r="S3182" i="2"/>
  <c r="S3183" i="2"/>
  <c r="S3184" i="2"/>
  <c r="S3185" i="2"/>
  <c r="S3186" i="2"/>
  <c r="S3187" i="2"/>
  <c r="S3188" i="2"/>
  <c r="S3189" i="2"/>
  <c r="S3190" i="2"/>
  <c r="S3191" i="2"/>
  <c r="S3192" i="2"/>
  <c r="S3193" i="2"/>
  <c r="S3194" i="2"/>
  <c r="S3195" i="2"/>
  <c r="S3196" i="2"/>
  <c r="S3197" i="2"/>
  <c r="S3198" i="2"/>
  <c r="S3199" i="2"/>
  <c r="S3200" i="2"/>
  <c r="S3201" i="2"/>
  <c r="S3202" i="2"/>
  <c r="S3203" i="2"/>
  <c r="S3204" i="2"/>
  <c r="S3205" i="2"/>
  <c r="S3206" i="2"/>
  <c r="S3207" i="2"/>
  <c r="S3208" i="2"/>
  <c r="S3209" i="2"/>
  <c r="S3210" i="2"/>
  <c r="S3211" i="2"/>
  <c r="S3212" i="2"/>
  <c r="S3213" i="2"/>
  <c r="S3214" i="2"/>
  <c r="S3215" i="2"/>
  <c r="S3216" i="2"/>
  <c r="S3217" i="2"/>
  <c r="S3218" i="2"/>
  <c r="S3219" i="2"/>
  <c r="S3220" i="2"/>
  <c r="S3221" i="2"/>
  <c r="S3222" i="2"/>
  <c r="S3223" i="2"/>
  <c r="S3224" i="2"/>
  <c r="S3" i="2"/>
  <c r="C43" i="7" l="1"/>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42" i="7"/>
  <c r="P71" i="4" l="1"/>
  <c r="P42" i="7"/>
  <c r="R42" i="7" s="1"/>
  <c r="T42" i="7" s="1"/>
  <c r="V42" i="7" s="1"/>
  <c r="X42" i="7" s="1"/>
  <c r="P202" i="7"/>
  <c r="R202" i="7" s="1"/>
  <c r="T202" i="7" s="1"/>
  <c r="V202" i="7" s="1"/>
  <c r="X202" i="7" s="1"/>
  <c r="P201" i="7"/>
  <c r="R201" i="7" s="1"/>
  <c r="T201" i="7" s="1"/>
  <c r="V201" i="7" s="1"/>
  <c r="X201" i="7" s="1"/>
  <c r="P200" i="7"/>
  <c r="R200" i="7" s="1"/>
  <c r="T200" i="7" s="1"/>
  <c r="V200" i="7" s="1"/>
  <c r="X200" i="7" s="1"/>
  <c r="P199" i="7"/>
  <c r="R199" i="7" s="1"/>
  <c r="T199" i="7" s="1"/>
  <c r="V199" i="7" s="1"/>
  <c r="X199" i="7" s="1"/>
  <c r="P198" i="7"/>
  <c r="R198" i="7" s="1"/>
  <c r="T198" i="7" s="1"/>
  <c r="V198" i="7" s="1"/>
  <c r="X198" i="7" s="1"/>
  <c r="P197" i="7"/>
  <c r="R197" i="7" s="1"/>
  <c r="T197" i="7" s="1"/>
  <c r="V197" i="7" s="1"/>
  <c r="X197" i="7" s="1"/>
  <c r="P196" i="7"/>
  <c r="R196" i="7" s="1"/>
  <c r="T196" i="7" s="1"/>
  <c r="V196" i="7" s="1"/>
  <c r="X196" i="7" s="1"/>
  <c r="P195" i="7"/>
  <c r="R195" i="7" s="1"/>
  <c r="T195" i="7" s="1"/>
  <c r="V195" i="7" s="1"/>
  <c r="X195" i="7" s="1"/>
  <c r="P194" i="7"/>
  <c r="R194" i="7" s="1"/>
  <c r="T194" i="7" s="1"/>
  <c r="V194" i="7" s="1"/>
  <c r="X194" i="7" s="1"/>
  <c r="P193" i="7"/>
  <c r="R193" i="7" s="1"/>
  <c r="T193" i="7" s="1"/>
  <c r="V193" i="7" s="1"/>
  <c r="X193" i="7" s="1"/>
  <c r="P192" i="7"/>
  <c r="R192" i="7" s="1"/>
  <c r="T192" i="7" s="1"/>
  <c r="V192" i="7" s="1"/>
  <c r="X192" i="7" s="1"/>
  <c r="P191" i="7"/>
  <c r="R191" i="7" s="1"/>
  <c r="T191" i="7" s="1"/>
  <c r="V191" i="7" s="1"/>
  <c r="X191" i="7" s="1"/>
  <c r="P190" i="7"/>
  <c r="R190" i="7" s="1"/>
  <c r="T190" i="7" s="1"/>
  <c r="V190" i="7" s="1"/>
  <c r="X190" i="7" s="1"/>
  <c r="P189" i="7"/>
  <c r="R189" i="7" s="1"/>
  <c r="T189" i="7" s="1"/>
  <c r="V189" i="7" s="1"/>
  <c r="X189" i="7" s="1"/>
  <c r="P188" i="7"/>
  <c r="R188" i="7" s="1"/>
  <c r="T188" i="7" s="1"/>
  <c r="V188" i="7" s="1"/>
  <c r="X188" i="7" s="1"/>
  <c r="P187" i="7"/>
  <c r="R187" i="7" s="1"/>
  <c r="T187" i="7" s="1"/>
  <c r="V187" i="7" s="1"/>
  <c r="X187" i="7" s="1"/>
  <c r="P186" i="7"/>
  <c r="R186" i="7" s="1"/>
  <c r="T186" i="7" s="1"/>
  <c r="V186" i="7" s="1"/>
  <c r="X186" i="7" s="1"/>
  <c r="P185" i="7"/>
  <c r="R185" i="7" s="1"/>
  <c r="T185" i="7" s="1"/>
  <c r="V185" i="7" s="1"/>
  <c r="X185" i="7" s="1"/>
  <c r="P184" i="7"/>
  <c r="R184" i="7" s="1"/>
  <c r="T184" i="7" s="1"/>
  <c r="V184" i="7" s="1"/>
  <c r="X184" i="7" s="1"/>
  <c r="P183" i="7"/>
  <c r="R183" i="7" s="1"/>
  <c r="T183" i="7" s="1"/>
  <c r="V183" i="7" s="1"/>
  <c r="X183" i="7" s="1"/>
  <c r="P182" i="7"/>
  <c r="R182" i="7" s="1"/>
  <c r="T182" i="7" s="1"/>
  <c r="V182" i="7" s="1"/>
  <c r="X182" i="7" s="1"/>
  <c r="P181" i="7"/>
  <c r="R181" i="7" s="1"/>
  <c r="T181" i="7" s="1"/>
  <c r="V181" i="7" s="1"/>
  <c r="X181" i="7" s="1"/>
  <c r="P180" i="7"/>
  <c r="R180" i="7" s="1"/>
  <c r="T180" i="7" s="1"/>
  <c r="V180" i="7" s="1"/>
  <c r="X180" i="7" s="1"/>
  <c r="P179" i="7"/>
  <c r="R179" i="7" s="1"/>
  <c r="T179" i="7" s="1"/>
  <c r="V179" i="7" s="1"/>
  <c r="X179" i="7" s="1"/>
  <c r="P178" i="7"/>
  <c r="R178" i="7" s="1"/>
  <c r="T178" i="7" s="1"/>
  <c r="V178" i="7" s="1"/>
  <c r="X178" i="7" s="1"/>
  <c r="P177" i="7"/>
  <c r="R177" i="7" s="1"/>
  <c r="T177" i="7" s="1"/>
  <c r="V177" i="7" s="1"/>
  <c r="X177" i="7" s="1"/>
  <c r="P176" i="7"/>
  <c r="R176" i="7" s="1"/>
  <c r="T176" i="7" s="1"/>
  <c r="V176" i="7" s="1"/>
  <c r="X176" i="7" s="1"/>
  <c r="P175" i="7"/>
  <c r="R175" i="7" s="1"/>
  <c r="T175" i="7" s="1"/>
  <c r="V175" i="7" s="1"/>
  <c r="X175" i="7" s="1"/>
  <c r="P174" i="7"/>
  <c r="R174" i="7" s="1"/>
  <c r="T174" i="7" s="1"/>
  <c r="V174" i="7" s="1"/>
  <c r="X174" i="7" s="1"/>
  <c r="P173" i="7"/>
  <c r="R173" i="7" s="1"/>
  <c r="T173" i="7" s="1"/>
  <c r="V173" i="7" s="1"/>
  <c r="X173" i="7" s="1"/>
  <c r="P172" i="7"/>
  <c r="R172" i="7" s="1"/>
  <c r="T172" i="7" s="1"/>
  <c r="V172" i="7" s="1"/>
  <c r="X172" i="7" s="1"/>
  <c r="P171" i="7"/>
  <c r="R171" i="7" s="1"/>
  <c r="T171" i="7" s="1"/>
  <c r="V171" i="7" s="1"/>
  <c r="X171" i="7" s="1"/>
  <c r="P170" i="7"/>
  <c r="R170" i="7" s="1"/>
  <c r="T170" i="7" s="1"/>
  <c r="V170" i="7" s="1"/>
  <c r="X170" i="7" s="1"/>
  <c r="P169" i="7"/>
  <c r="R169" i="7" s="1"/>
  <c r="T169" i="7" s="1"/>
  <c r="V169" i="7" s="1"/>
  <c r="X169" i="7" s="1"/>
  <c r="P168" i="7"/>
  <c r="R168" i="7" s="1"/>
  <c r="T168" i="7" s="1"/>
  <c r="V168" i="7" s="1"/>
  <c r="X168" i="7" s="1"/>
  <c r="P167" i="7"/>
  <c r="R167" i="7" s="1"/>
  <c r="T167" i="7" s="1"/>
  <c r="V167" i="7" s="1"/>
  <c r="X167" i="7" s="1"/>
  <c r="P166" i="7"/>
  <c r="R166" i="7" s="1"/>
  <c r="T166" i="7" s="1"/>
  <c r="V166" i="7" s="1"/>
  <c r="X166" i="7" s="1"/>
  <c r="P165" i="7"/>
  <c r="R165" i="7" s="1"/>
  <c r="T165" i="7" s="1"/>
  <c r="V165" i="7" s="1"/>
  <c r="X165" i="7" s="1"/>
  <c r="P164" i="7"/>
  <c r="R164" i="7" s="1"/>
  <c r="T164" i="7" s="1"/>
  <c r="V164" i="7" s="1"/>
  <c r="X164" i="7" s="1"/>
  <c r="P163" i="7"/>
  <c r="R163" i="7" s="1"/>
  <c r="T163" i="7" s="1"/>
  <c r="V163" i="7" s="1"/>
  <c r="X163" i="7" s="1"/>
  <c r="P162" i="7"/>
  <c r="R162" i="7" s="1"/>
  <c r="T162" i="7" s="1"/>
  <c r="V162" i="7" s="1"/>
  <c r="X162" i="7" s="1"/>
  <c r="P161" i="7"/>
  <c r="R161" i="7" s="1"/>
  <c r="T161" i="7" s="1"/>
  <c r="V161" i="7" s="1"/>
  <c r="X161" i="7" s="1"/>
  <c r="P160" i="7"/>
  <c r="R160" i="7" s="1"/>
  <c r="T160" i="7" s="1"/>
  <c r="V160" i="7" s="1"/>
  <c r="X160" i="7" s="1"/>
  <c r="P159" i="7"/>
  <c r="R159" i="7" s="1"/>
  <c r="T159" i="7" s="1"/>
  <c r="V159" i="7" s="1"/>
  <c r="X159" i="7" s="1"/>
  <c r="P158" i="7"/>
  <c r="R158" i="7" s="1"/>
  <c r="T158" i="7" s="1"/>
  <c r="V158" i="7" s="1"/>
  <c r="X158" i="7" s="1"/>
  <c r="P157" i="7"/>
  <c r="R157" i="7" s="1"/>
  <c r="T157" i="7" s="1"/>
  <c r="V157" i="7" s="1"/>
  <c r="X157" i="7" s="1"/>
  <c r="P156" i="7"/>
  <c r="R156" i="7" s="1"/>
  <c r="T156" i="7" s="1"/>
  <c r="V156" i="7" s="1"/>
  <c r="X156" i="7" s="1"/>
  <c r="P155" i="7"/>
  <c r="R155" i="7" s="1"/>
  <c r="T155" i="7" s="1"/>
  <c r="V155" i="7" s="1"/>
  <c r="X155" i="7" s="1"/>
  <c r="P154" i="7"/>
  <c r="R154" i="7" s="1"/>
  <c r="T154" i="7" s="1"/>
  <c r="V154" i="7" s="1"/>
  <c r="X154" i="7" s="1"/>
  <c r="P153" i="7"/>
  <c r="R153" i="7" s="1"/>
  <c r="T153" i="7" s="1"/>
  <c r="V153" i="7" s="1"/>
  <c r="X153" i="7" s="1"/>
  <c r="P152" i="7"/>
  <c r="R152" i="7" s="1"/>
  <c r="T152" i="7" s="1"/>
  <c r="V152" i="7" s="1"/>
  <c r="X152" i="7" s="1"/>
  <c r="P151" i="7"/>
  <c r="R151" i="7" s="1"/>
  <c r="T151" i="7" s="1"/>
  <c r="V151" i="7" s="1"/>
  <c r="X151" i="7" s="1"/>
  <c r="P150" i="7"/>
  <c r="R150" i="7" s="1"/>
  <c r="T150" i="7" s="1"/>
  <c r="V150" i="7" s="1"/>
  <c r="X150" i="7" s="1"/>
  <c r="P149" i="7"/>
  <c r="R149" i="7" s="1"/>
  <c r="T149" i="7" s="1"/>
  <c r="V149" i="7" s="1"/>
  <c r="X149" i="7" s="1"/>
  <c r="P148" i="7"/>
  <c r="R148" i="7" s="1"/>
  <c r="T148" i="7" s="1"/>
  <c r="V148" i="7" s="1"/>
  <c r="X148" i="7" s="1"/>
  <c r="P147" i="7"/>
  <c r="R147" i="7" s="1"/>
  <c r="T147" i="7" s="1"/>
  <c r="V147" i="7" s="1"/>
  <c r="X147" i="7" s="1"/>
  <c r="P146" i="7"/>
  <c r="R146" i="7" s="1"/>
  <c r="T146" i="7" s="1"/>
  <c r="V146" i="7" s="1"/>
  <c r="X146" i="7" s="1"/>
  <c r="P145" i="7"/>
  <c r="R145" i="7" s="1"/>
  <c r="T145" i="7" s="1"/>
  <c r="V145" i="7" s="1"/>
  <c r="X145" i="7" s="1"/>
  <c r="P144" i="7"/>
  <c r="R144" i="7" s="1"/>
  <c r="T144" i="7" s="1"/>
  <c r="V144" i="7" s="1"/>
  <c r="X144" i="7" s="1"/>
  <c r="P143" i="7"/>
  <c r="R143" i="7" s="1"/>
  <c r="T143" i="7" s="1"/>
  <c r="V143" i="7" s="1"/>
  <c r="X143" i="7" s="1"/>
  <c r="P142" i="7"/>
  <c r="R142" i="7" s="1"/>
  <c r="T142" i="7" s="1"/>
  <c r="V142" i="7" s="1"/>
  <c r="X142" i="7" s="1"/>
  <c r="P141" i="7"/>
  <c r="R141" i="7" s="1"/>
  <c r="T141" i="7" s="1"/>
  <c r="V141" i="7" s="1"/>
  <c r="X141" i="7" s="1"/>
  <c r="P140" i="7"/>
  <c r="R140" i="7" s="1"/>
  <c r="T140" i="7" s="1"/>
  <c r="V140" i="7" s="1"/>
  <c r="X140" i="7" s="1"/>
  <c r="P139" i="7"/>
  <c r="R139" i="7" s="1"/>
  <c r="T139" i="7" s="1"/>
  <c r="V139" i="7" s="1"/>
  <c r="X139" i="7" s="1"/>
  <c r="P138" i="7"/>
  <c r="R138" i="7" s="1"/>
  <c r="T138" i="7" s="1"/>
  <c r="V138" i="7" s="1"/>
  <c r="X138" i="7" s="1"/>
  <c r="P137" i="7"/>
  <c r="R137" i="7" s="1"/>
  <c r="T137" i="7" s="1"/>
  <c r="V137" i="7" s="1"/>
  <c r="X137" i="7" s="1"/>
  <c r="P136" i="7"/>
  <c r="R136" i="7" s="1"/>
  <c r="T136" i="7" s="1"/>
  <c r="V136" i="7" s="1"/>
  <c r="X136" i="7" s="1"/>
  <c r="P135" i="7"/>
  <c r="R135" i="7" s="1"/>
  <c r="T135" i="7" s="1"/>
  <c r="V135" i="7" s="1"/>
  <c r="X135" i="7" s="1"/>
  <c r="P134" i="7"/>
  <c r="R134" i="7" s="1"/>
  <c r="T134" i="7" s="1"/>
  <c r="V134" i="7" s="1"/>
  <c r="X134" i="7" s="1"/>
  <c r="P133" i="7"/>
  <c r="R133" i="7" s="1"/>
  <c r="T133" i="7" s="1"/>
  <c r="V133" i="7" s="1"/>
  <c r="X133" i="7" s="1"/>
  <c r="P132" i="7"/>
  <c r="R132" i="7" s="1"/>
  <c r="T132" i="7" s="1"/>
  <c r="V132" i="7" s="1"/>
  <c r="X132" i="7" s="1"/>
  <c r="P131" i="7"/>
  <c r="R131" i="7" s="1"/>
  <c r="T131" i="7" s="1"/>
  <c r="V131" i="7" s="1"/>
  <c r="X131" i="7" s="1"/>
  <c r="P130" i="7"/>
  <c r="R130" i="7" s="1"/>
  <c r="T130" i="7" s="1"/>
  <c r="V130" i="7" s="1"/>
  <c r="X130" i="7" s="1"/>
  <c r="P129" i="7"/>
  <c r="R129" i="7" s="1"/>
  <c r="T129" i="7" s="1"/>
  <c r="V129" i="7" s="1"/>
  <c r="X129" i="7" s="1"/>
  <c r="P128" i="7"/>
  <c r="R128" i="7" s="1"/>
  <c r="T128" i="7" s="1"/>
  <c r="V128" i="7" s="1"/>
  <c r="X128" i="7" s="1"/>
  <c r="P127" i="7"/>
  <c r="R127" i="7" s="1"/>
  <c r="T127" i="7" s="1"/>
  <c r="V127" i="7" s="1"/>
  <c r="X127" i="7" s="1"/>
  <c r="P126" i="7"/>
  <c r="R126" i="7" s="1"/>
  <c r="T126" i="7" s="1"/>
  <c r="V126" i="7" s="1"/>
  <c r="X126" i="7" s="1"/>
  <c r="P125" i="7"/>
  <c r="R125" i="7" s="1"/>
  <c r="T125" i="7" s="1"/>
  <c r="V125" i="7" s="1"/>
  <c r="X125" i="7" s="1"/>
  <c r="P124" i="7"/>
  <c r="R124" i="7" s="1"/>
  <c r="T124" i="7" s="1"/>
  <c r="V124" i="7" s="1"/>
  <c r="X124" i="7" s="1"/>
  <c r="P123" i="7"/>
  <c r="R123" i="7" s="1"/>
  <c r="T123" i="7" s="1"/>
  <c r="V123" i="7" s="1"/>
  <c r="X123" i="7" s="1"/>
  <c r="P122" i="7"/>
  <c r="R122" i="7" s="1"/>
  <c r="T122" i="7" s="1"/>
  <c r="V122" i="7" s="1"/>
  <c r="X122" i="7" s="1"/>
  <c r="P121" i="7"/>
  <c r="R121" i="7" s="1"/>
  <c r="T121" i="7" s="1"/>
  <c r="V121" i="7" s="1"/>
  <c r="X121" i="7" s="1"/>
  <c r="P120" i="7"/>
  <c r="R120" i="7" s="1"/>
  <c r="T120" i="7" s="1"/>
  <c r="V120" i="7" s="1"/>
  <c r="X120" i="7" s="1"/>
  <c r="P119" i="7"/>
  <c r="R119" i="7" s="1"/>
  <c r="T119" i="7" s="1"/>
  <c r="V119" i="7" s="1"/>
  <c r="X119" i="7" s="1"/>
  <c r="P118" i="7"/>
  <c r="R118" i="7" s="1"/>
  <c r="T118" i="7" s="1"/>
  <c r="V118" i="7" s="1"/>
  <c r="X118" i="7" s="1"/>
  <c r="P117" i="7"/>
  <c r="R117" i="7" s="1"/>
  <c r="T117" i="7" s="1"/>
  <c r="V117" i="7" s="1"/>
  <c r="X117" i="7" s="1"/>
  <c r="P116" i="7"/>
  <c r="R116" i="7" s="1"/>
  <c r="T116" i="7" s="1"/>
  <c r="V116" i="7" s="1"/>
  <c r="X116" i="7" s="1"/>
  <c r="P115" i="7"/>
  <c r="R115" i="7" s="1"/>
  <c r="T115" i="7" s="1"/>
  <c r="V115" i="7" s="1"/>
  <c r="X115" i="7" s="1"/>
  <c r="P114" i="7"/>
  <c r="R114" i="7" s="1"/>
  <c r="T114" i="7" s="1"/>
  <c r="V114" i="7" s="1"/>
  <c r="X114" i="7" s="1"/>
  <c r="P113" i="7"/>
  <c r="R113" i="7" s="1"/>
  <c r="T113" i="7" s="1"/>
  <c r="V113" i="7" s="1"/>
  <c r="X113" i="7" s="1"/>
  <c r="P112" i="7"/>
  <c r="R112" i="7" s="1"/>
  <c r="T112" i="7" s="1"/>
  <c r="V112" i="7" s="1"/>
  <c r="X112" i="7" s="1"/>
  <c r="P111" i="7"/>
  <c r="R111" i="7" s="1"/>
  <c r="T111" i="7" s="1"/>
  <c r="V111" i="7" s="1"/>
  <c r="X111" i="7" s="1"/>
  <c r="P110" i="7"/>
  <c r="R110" i="7" s="1"/>
  <c r="T110" i="7" s="1"/>
  <c r="V110" i="7" s="1"/>
  <c r="X110" i="7" s="1"/>
  <c r="P109" i="7"/>
  <c r="R109" i="7" s="1"/>
  <c r="T109" i="7" s="1"/>
  <c r="V109" i="7" s="1"/>
  <c r="X109" i="7" s="1"/>
  <c r="P108" i="7"/>
  <c r="R108" i="7" s="1"/>
  <c r="T108" i="7" s="1"/>
  <c r="V108" i="7" s="1"/>
  <c r="X108" i="7" s="1"/>
  <c r="P107" i="7"/>
  <c r="R107" i="7" s="1"/>
  <c r="T107" i="7" s="1"/>
  <c r="V107" i="7" s="1"/>
  <c r="X107" i="7" s="1"/>
  <c r="P106" i="7"/>
  <c r="R106" i="7" s="1"/>
  <c r="T106" i="7" s="1"/>
  <c r="V106" i="7" s="1"/>
  <c r="X106" i="7" s="1"/>
  <c r="P105" i="7"/>
  <c r="R105" i="7" s="1"/>
  <c r="T105" i="7" s="1"/>
  <c r="V105" i="7" s="1"/>
  <c r="X105" i="7" s="1"/>
  <c r="P104" i="7"/>
  <c r="R104" i="7" s="1"/>
  <c r="T104" i="7" s="1"/>
  <c r="V104" i="7" s="1"/>
  <c r="X104" i="7" s="1"/>
  <c r="P103" i="7"/>
  <c r="R103" i="7" s="1"/>
  <c r="T103" i="7" s="1"/>
  <c r="V103" i="7" s="1"/>
  <c r="X103" i="7" s="1"/>
  <c r="P102" i="7"/>
  <c r="R102" i="7" s="1"/>
  <c r="T102" i="7" s="1"/>
  <c r="V102" i="7" s="1"/>
  <c r="X102" i="7" s="1"/>
  <c r="P101" i="7"/>
  <c r="R101" i="7" s="1"/>
  <c r="T101" i="7" s="1"/>
  <c r="V101" i="7" s="1"/>
  <c r="X101" i="7" s="1"/>
  <c r="P100" i="7"/>
  <c r="R100" i="7" s="1"/>
  <c r="T100" i="7" s="1"/>
  <c r="V100" i="7" s="1"/>
  <c r="X100" i="7" s="1"/>
  <c r="P99" i="7"/>
  <c r="R99" i="7" s="1"/>
  <c r="T99" i="7" s="1"/>
  <c r="V99" i="7" s="1"/>
  <c r="X99" i="7" s="1"/>
  <c r="P98" i="7"/>
  <c r="R98" i="7" s="1"/>
  <c r="T98" i="7" s="1"/>
  <c r="V98" i="7" s="1"/>
  <c r="X98" i="7" s="1"/>
  <c r="P97" i="7"/>
  <c r="R97" i="7" s="1"/>
  <c r="T97" i="7" s="1"/>
  <c r="V97" i="7" s="1"/>
  <c r="X97" i="7" s="1"/>
  <c r="P96" i="7"/>
  <c r="R96" i="7" s="1"/>
  <c r="T96" i="7" s="1"/>
  <c r="V96" i="7" s="1"/>
  <c r="X96" i="7" s="1"/>
  <c r="P95" i="7"/>
  <c r="R95" i="7" s="1"/>
  <c r="T95" i="7" s="1"/>
  <c r="V95" i="7" s="1"/>
  <c r="X95" i="7" s="1"/>
  <c r="P94" i="7"/>
  <c r="R94" i="7" s="1"/>
  <c r="T94" i="7" s="1"/>
  <c r="V94" i="7" s="1"/>
  <c r="X94" i="7" s="1"/>
  <c r="P93" i="7"/>
  <c r="R93" i="7" s="1"/>
  <c r="T93" i="7" s="1"/>
  <c r="V93" i="7" s="1"/>
  <c r="X93" i="7" s="1"/>
  <c r="P92" i="7"/>
  <c r="R92" i="7" s="1"/>
  <c r="T92" i="7" s="1"/>
  <c r="V92" i="7" s="1"/>
  <c r="X92" i="7" s="1"/>
  <c r="P91" i="7"/>
  <c r="R91" i="7" s="1"/>
  <c r="T91" i="7" s="1"/>
  <c r="V91" i="7" s="1"/>
  <c r="X91" i="7" s="1"/>
  <c r="P90" i="7"/>
  <c r="R90" i="7" s="1"/>
  <c r="T90" i="7" s="1"/>
  <c r="V90" i="7" s="1"/>
  <c r="X90" i="7" s="1"/>
  <c r="P89" i="7"/>
  <c r="R89" i="7" s="1"/>
  <c r="T89" i="7" s="1"/>
  <c r="V89" i="7" s="1"/>
  <c r="X89" i="7" s="1"/>
  <c r="P88" i="7"/>
  <c r="R88" i="7" s="1"/>
  <c r="T88" i="7" s="1"/>
  <c r="V88" i="7" s="1"/>
  <c r="X88" i="7" s="1"/>
  <c r="P87" i="7"/>
  <c r="R87" i="7" s="1"/>
  <c r="T87" i="7" s="1"/>
  <c r="V87" i="7" s="1"/>
  <c r="X87" i="7" s="1"/>
  <c r="P86" i="7"/>
  <c r="R86" i="7" s="1"/>
  <c r="T86" i="7" s="1"/>
  <c r="V86" i="7" s="1"/>
  <c r="X86" i="7" s="1"/>
  <c r="P85" i="7"/>
  <c r="R85" i="7" s="1"/>
  <c r="T85" i="7" s="1"/>
  <c r="V85" i="7" s="1"/>
  <c r="X85" i="7" s="1"/>
  <c r="P84" i="7"/>
  <c r="R84" i="7" s="1"/>
  <c r="T84" i="7" s="1"/>
  <c r="V84" i="7" s="1"/>
  <c r="X84" i="7" s="1"/>
  <c r="P83" i="7"/>
  <c r="R83" i="7" s="1"/>
  <c r="T83" i="7" s="1"/>
  <c r="V83" i="7" s="1"/>
  <c r="X83" i="7" s="1"/>
  <c r="P82" i="7"/>
  <c r="R82" i="7" s="1"/>
  <c r="T82" i="7" s="1"/>
  <c r="V82" i="7" s="1"/>
  <c r="X82" i="7" s="1"/>
  <c r="P81" i="7"/>
  <c r="R81" i="7" s="1"/>
  <c r="T81" i="7" s="1"/>
  <c r="V81" i="7" s="1"/>
  <c r="X81" i="7" s="1"/>
  <c r="P80" i="7"/>
  <c r="R80" i="7" s="1"/>
  <c r="T80" i="7" s="1"/>
  <c r="V80" i="7" s="1"/>
  <c r="X80" i="7" s="1"/>
  <c r="P79" i="7"/>
  <c r="R79" i="7" s="1"/>
  <c r="T79" i="7" s="1"/>
  <c r="V79" i="7" s="1"/>
  <c r="X79" i="7" s="1"/>
  <c r="P78" i="7"/>
  <c r="R78" i="7" s="1"/>
  <c r="T78" i="7" s="1"/>
  <c r="V78" i="7" s="1"/>
  <c r="X78" i="7" s="1"/>
  <c r="P77" i="7"/>
  <c r="R77" i="7" s="1"/>
  <c r="T77" i="7" s="1"/>
  <c r="V77" i="7" s="1"/>
  <c r="X77" i="7" s="1"/>
  <c r="P76" i="7"/>
  <c r="R76" i="7" s="1"/>
  <c r="T76" i="7" s="1"/>
  <c r="V76" i="7" s="1"/>
  <c r="X76" i="7" s="1"/>
  <c r="P75" i="7"/>
  <c r="R75" i="7" s="1"/>
  <c r="T75" i="7" s="1"/>
  <c r="V75" i="7" s="1"/>
  <c r="X75" i="7" s="1"/>
  <c r="P74" i="7"/>
  <c r="R74" i="7" s="1"/>
  <c r="T74" i="7" s="1"/>
  <c r="V74" i="7" s="1"/>
  <c r="X74" i="7" s="1"/>
  <c r="P73" i="7"/>
  <c r="R73" i="7" s="1"/>
  <c r="T73" i="7" s="1"/>
  <c r="V73" i="7" s="1"/>
  <c r="X73" i="7" s="1"/>
  <c r="P72" i="7"/>
  <c r="R72" i="7" s="1"/>
  <c r="T72" i="7" s="1"/>
  <c r="V72" i="7" s="1"/>
  <c r="X72" i="7" s="1"/>
  <c r="P71" i="7"/>
  <c r="R71" i="7" s="1"/>
  <c r="T71" i="7" s="1"/>
  <c r="V71" i="7" s="1"/>
  <c r="X71" i="7" s="1"/>
  <c r="P70" i="7"/>
  <c r="R70" i="7" s="1"/>
  <c r="T70" i="7" s="1"/>
  <c r="V70" i="7" s="1"/>
  <c r="X70" i="7" s="1"/>
  <c r="P69" i="7"/>
  <c r="R69" i="7" s="1"/>
  <c r="T69" i="7" s="1"/>
  <c r="V69" i="7" s="1"/>
  <c r="X69" i="7" s="1"/>
  <c r="P68" i="7"/>
  <c r="R68" i="7" s="1"/>
  <c r="T68" i="7" s="1"/>
  <c r="V68" i="7" s="1"/>
  <c r="X68" i="7" s="1"/>
  <c r="P67" i="7"/>
  <c r="R67" i="7" s="1"/>
  <c r="T67" i="7" s="1"/>
  <c r="V67" i="7" s="1"/>
  <c r="X67" i="7" s="1"/>
  <c r="P66" i="7"/>
  <c r="R66" i="7" s="1"/>
  <c r="T66" i="7" s="1"/>
  <c r="V66" i="7" s="1"/>
  <c r="X66" i="7" s="1"/>
  <c r="P65" i="7"/>
  <c r="R65" i="7" s="1"/>
  <c r="T65" i="7" s="1"/>
  <c r="V65" i="7" s="1"/>
  <c r="X65" i="7" s="1"/>
  <c r="P64" i="7"/>
  <c r="R64" i="7" s="1"/>
  <c r="T64" i="7" s="1"/>
  <c r="V64" i="7" s="1"/>
  <c r="X64" i="7" s="1"/>
  <c r="P63" i="7"/>
  <c r="R63" i="7" s="1"/>
  <c r="T63" i="7" s="1"/>
  <c r="V63" i="7" s="1"/>
  <c r="X63" i="7" s="1"/>
  <c r="P62" i="7"/>
  <c r="R62" i="7" s="1"/>
  <c r="T62" i="7" s="1"/>
  <c r="V62" i="7" s="1"/>
  <c r="X62" i="7" s="1"/>
  <c r="P61" i="7"/>
  <c r="R61" i="7" s="1"/>
  <c r="T61" i="7" s="1"/>
  <c r="V61" i="7" s="1"/>
  <c r="X61" i="7" s="1"/>
  <c r="P60" i="7"/>
  <c r="R60" i="7" s="1"/>
  <c r="T60" i="7" s="1"/>
  <c r="V60" i="7" s="1"/>
  <c r="X60" i="7" s="1"/>
  <c r="P59" i="7"/>
  <c r="R59" i="7" s="1"/>
  <c r="T59" i="7" s="1"/>
  <c r="V59" i="7" s="1"/>
  <c r="X59" i="7" s="1"/>
  <c r="P58" i="7"/>
  <c r="R58" i="7" s="1"/>
  <c r="T58" i="7" s="1"/>
  <c r="V58" i="7" s="1"/>
  <c r="X58" i="7" s="1"/>
  <c r="P57" i="7"/>
  <c r="R57" i="7" s="1"/>
  <c r="T57" i="7" s="1"/>
  <c r="V57" i="7" s="1"/>
  <c r="X57" i="7" s="1"/>
  <c r="P56" i="7"/>
  <c r="R56" i="7" s="1"/>
  <c r="T56" i="7" s="1"/>
  <c r="V56" i="7" s="1"/>
  <c r="X56" i="7" s="1"/>
  <c r="P55" i="7"/>
  <c r="R55" i="7" s="1"/>
  <c r="T55" i="7" s="1"/>
  <c r="V55" i="7" s="1"/>
  <c r="X55" i="7" s="1"/>
  <c r="P54" i="7"/>
  <c r="R54" i="7" s="1"/>
  <c r="T54" i="7" s="1"/>
  <c r="V54" i="7" s="1"/>
  <c r="X54" i="7" s="1"/>
  <c r="P53" i="7"/>
  <c r="R53" i="7" s="1"/>
  <c r="T53" i="7" s="1"/>
  <c r="V53" i="7" s="1"/>
  <c r="X53" i="7" s="1"/>
  <c r="P52" i="7"/>
  <c r="R52" i="7" s="1"/>
  <c r="T52" i="7" s="1"/>
  <c r="V52" i="7" s="1"/>
  <c r="X52" i="7" s="1"/>
  <c r="P51" i="7"/>
  <c r="R51" i="7" s="1"/>
  <c r="T51" i="7" s="1"/>
  <c r="V51" i="7" s="1"/>
  <c r="X51" i="7" s="1"/>
  <c r="P50" i="7"/>
  <c r="R50" i="7" s="1"/>
  <c r="T50" i="7" s="1"/>
  <c r="V50" i="7" s="1"/>
  <c r="X50" i="7" s="1"/>
  <c r="P49" i="7"/>
  <c r="R49" i="7" s="1"/>
  <c r="T49" i="7" s="1"/>
  <c r="V49" i="7" s="1"/>
  <c r="X49" i="7" s="1"/>
  <c r="P48" i="7"/>
  <c r="R48" i="7" s="1"/>
  <c r="T48" i="7" s="1"/>
  <c r="V48" i="7" s="1"/>
  <c r="X48" i="7" s="1"/>
  <c r="P47" i="7"/>
  <c r="R47" i="7" s="1"/>
  <c r="T47" i="7" s="1"/>
  <c r="V47" i="7" s="1"/>
  <c r="X47" i="7" s="1"/>
  <c r="P46" i="7"/>
  <c r="R46" i="7" s="1"/>
  <c r="T46" i="7" s="1"/>
  <c r="V46" i="7" s="1"/>
  <c r="X46" i="7" s="1"/>
  <c r="P45" i="7"/>
  <c r="R45" i="7" s="1"/>
  <c r="T45" i="7" s="1"/>
  <c r="V45" i="7" s="1"/>
  <c r="X45" i="7" s="1"/>
  <c r="P44" i="7"/>
  <c r="R44" i="7" s="1"/>
  <c r="T44" i="7" s="1"/>
  <c r="V44" i="7" s="1"/>
  <c r="X44" i="7" s="1"/>
  <c r="P43" i="7"/>
  <c r="R43" i="7" s="1"/>
  <c r="T43" i="7" s="1"/>
  <c r="V43" i="7" s="1"/>
  <c r="X43" i="7" s="1"/>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42" i="7"/>
  <c r="J40" i="7"/>
  <c r="D38" i="7"/>
  <c r="B114" i="13"/>
  <c r="B109" i="13"/>
  <c r="B107" i="13"/>
  <c r="B90" i="13" l="1"/>
  <c r="B89" i="13"/>
  <c r="B91" i="13"/>
  <c r="B88" i="13"/>
  <c r="B49" i="13" l="1"/>
  <c r="B87" i="13"/>
  <c r="B84" i="13"/>
  <c r="B82" i="13"/>
  <c r="B81" i="13"/>
  <c r="B80" i="13"/>
  <c r="B68" i="13"/>
  <c r="B66" i="13"/>
  <c r="B65" i="13"/>
  <c r="B52" i="13"/>
  <c r="B50" i="13"/>
  <c r="B48" i="13"/>
  <c r="B47" i="13"/>
  <c r="B46" i="13"/>
  <c r="B45" i="13" l="1"/>
  <c r="B44" i="13"/>
  <c r="B43" i="13"/>
  <c r="B42" i="13"/>
  <c r="B41" i="13"/>
  <c r="B40" i="13"/>
  <c r="B39" i="13"/>
  <c r="B38" i="13"/>
  <c r="B37" i="13"/>
  <c r="B36" i="13"/>
  <c r="B35" i="13"/>
  <c r="B34" i="13"/>
  <c r="B33" i="13"/>
  <c r="B19" i="13" l="1"/>
  <c r="Q18" i="13" l="1"/>
  <c r="Q17" i="13"/>
  <c r="E81" i="13"/>
  <c r="F81" i="13"/>
  <c r="E82" i="13"/>
  <c r="F82" i="13"/>
  <c r="E83" i="13"/>
  <c r="F83" i="13"/>
  <c r="E84" i="13"/>
  <c r="F84" i="13"/>
  <c r="E86" i="13"/>
  <c r="F86" i="13"/>
  <c r="E87" i="13"/>
  <c r="F87" i="13"/>
  <c r="E88" i="13"/>
  <c r="F88" i="13"/>
  <c r="E89" i="13"/>
  <c r="F89" i="13"/>
  <c r="E90" i="13"/>
  <c r="F90" i="13"/>
  <c r="E91" i="13"/>
  <c r="F91" i="13"/>
  <c r="E66" i="13"/>
  <c r="E67" i="13"/>
  <c r="E68" i="13"/>
  <c r="F68" i="13"/>
  <c r="E38" i="13"/>
  <c r="F38" i="13"/>
  <c r="E39" i="13"/>
  <c r="F39" i="13"/>
  <c r="E40" i="13"/>
  <c r="F40" i="13"/>
  <c r="E41" i="13"/>
  <c r="F41" i="13"/>
  <c r="E42" i="13"/>
  <c r="F42" i="13"/>
  <c r="E43" i="13"/>
  <c r="F43" i="13"/>
  <c r="E44" i="13"/>
  <c r="F44" i="13"/>
  <c r="E45" i="13"/>
  <c r="F45" i="13"/>
  <c r="E46" i="13"/>
  <c r="F46" i="13"/>
  <c r="E47" i="13"/>
  <c r="F47" i="13"/>
  <c r="E48" i="13"/>
  <c r="F48" i="13"/>
  <c r="E49" i="13"/>
  <c r="F49" i="13"/>
  <c r="E50" i="13"/>
  <c r="F50" i="13"/>
  <c r="E51" i="13"/>
  <c r="F51" i="13"/>
  <c r="E52" i="13"/>
  <c r="F52" i="13"/>
  <c r="P27" i="4" l="1"/>
  <c r="P52" i="4" l="1"/>
  <c r="P22" i="4"/>
  <c r="Q22" i="4"/>
  <c r="P21" i="4"/>
  <c r="P78" i="4"/>
  <c r="D27" i="3"/>
  <c r="D24" i="3"/>
  <c r="I35" i="21" s="1"/>
  <c r="D23" i="3"/>
  <c r="P8" i="4"/>
  <c r="B6" i="19" l="1"/>
  <c r="B6" i="21"/>
  <c r="B6" i="13"/>
  <c r="B2" i="11"/>
  <c r="I34" i="21"/>
  <c r="I48" i="13"/>
  <c r="U51" i="4"/>
  <c r="I49" i="13"/>
  <c r="D7" i="3"/>
  <c r="D8" i="3" s="1"/>
  <c r="V9" i="7"/>
  <c r="G10" i="4" l="1"/>
  <c r="B3" i="7"/>
  <c r="D36" i="3"/>
  <c r="D37" i="3"/>
  <c r="D38" i="3"/>
  <c r="D39" i="3"/>
  <c r="P68" i="4" l="1"/>
  <c r="P64" i="4"/>
  <c r="Q64" i="4"/>
  <c r="P53" i="4"/>
  <c r="P54" i="4"/>
  <c r="P55" i="4"/>
  <c r="P56" i="4"/>
  <c r="P57" i="4"/>
  <c r="P60" i="4"/>
  <c r="P61" i="4"/>
  <c r="Q53" i="4"/>
  <c r="Q54" i="4"/>
  <c r="Q55" i="4"/>
  <c r="Q56" i="4"/>
  <c r="Q57" i="4"/>
  <c r="Q60" i="4"/>
  <c r="Q61" i="4"/>
  <c r="P66" i="4"/>
  <c r="P67" i="4"/>
  <c r="P69" i="4"/>
  <c r="P70" i="4"/>
  <c r="P72" i="4"/>
  <c r="P73" i="4"/>
  <c r="P74" i="4"/>
  <c r="Q69" i="4"/>
  <c r="Q70" i="4"/>
  <c r="Q72" i="4"/>
  <c r="Q73" i="4"/>
  <c r="Q74" i="4"/>
  <c r="U50" i="4"/>
  <c r="F47" i="21" s="1"/>
  <c r="U49" i="4"/>
  <c r="F46" i="21" s="1"/>
  <c r="F66" i="13" l="1"/>
  <c r="F48" i="21"/>
  <c r="P38" i="4"/>
  <c r="Q38" i="4"/>
  <c r="P26" i="4"/>
  <c r="P28" i="4"/>
  <c r="P29" i="4"/>
  <c r="P30" i="4"/>
  <c r="P31" i="4"/>
  <c r="P32" i="4"/>
  <c r="P33" i="4"/>
  <c r="P34" i="4"/>
  <c r="P36" i="4"/>
  <c r="P37" i="4"/>
  <c r="P39" i="4"/>
  <c r="P40" i="4"/>
  <c r="P42" i="4"/>
  <c r="P43" i="4"/>
  <c r="P44" i="4"/>
  <c r="P45" i="4"/>
  <c r="P46" i="4"/>
  <c r="P47" i="4"/>
  <c r="P48" i="4"/>
  <c r="P13" i="4"/>
  <c r="P49" i="4"/>
  <c r="P50" i="4"/>
  <c r="P51" i="4"/>
  <c r="P77" i="4"/>
  <c r="P62" i="4"/>
  <c r="P63" i="4"/>
  <c r="P65" i="4"/>
  <c r="Q26" i="4"/>
  <c r="Q28" i="4"/>
  <c r="Q30" i="4"/>
  <c r="Q31" i="4"/>
  <c r="Q32" i="4"/>
  <c r="Q33" i="4"/>
  <c r="Q36" i="4"/>
  <c r="Q37" i="4"/>
  <c r="Q39" i="4"/>
  <c r="Q42" i="4"/>
  <c r="Q43" i="4"/>
  <c r="Q44" i="4"/>
  <c r="Q45" i="4"/>
  <c r="Q46" i="4"/>
  <c r="Q47" i="4"/>
  <c r="Q48" i="4"/>
  <c r="Q49" i="4"/>
  <c r="Q50" i="4"/>
  <c r="Q51" i="4"/>
  <c r="Q77" i="4"/>
  <c r="Q63" i="4"/>
  <c r="Q65" i="4"/>
  <c r="P23" i="4"/>
  <c r="P24" i="4"/>
  <c r="P25" i="4"/>
  <c r="Q24" i="4"/>
  <c r="Q25" i="4"/>
  <c r="C24" i="11"/>
  <c r="B5" i="11"/>
  <c r="B5" i="27" l="1"/>
  <c r="F2" i="27" s="1"/>
  <c r="B5" i="28"/>
  <c r="I2" i="28" s="1"/>
  <c r="B5" i="25"/>
  <c r="F2" i="25" s="1"/>
  <c r="B5" i="24"/>
  <c r="F2" i="24" s="1"/>
  <c r="B6" i="11"/>
  <c r="B5" i="23"/>
  <c r="K2" i="23" s="1"/>
  <c r="F67" i="13"/>
  <c r="P10" i="4"/>
  <c r="B115" i="13" l="1"/>
  <c r="B69" i="13"/>
  <c r="B53" i="13"/>
  <c r="B20" i="13"/>
  <c r="D47" i="3" l="1"/>
  <c r="B19" i="11" s="1"/>
  <c r="D45" i="3"/>
  <c r="B17" i="11" s="1"/>
  <c r="D43" i="3"/>
  <c r="B15" i="11" s="1"/>
  <c r="D41" i="3"/>
  <c r="B13" i="11" s="1"/>
  <c r="D42" i="3"/>
  <c r="B14" i="11" s="1"/>
  <c r="B11" i="11"/>
  <c r="B9" i="11"/>
  <c r="D46" i="3"/>
  <c r="B18" i="11" s="1"/>
  <c r="D23" i="11" s="1"/>
  <c r="C23" i="11" s="1"/>
  <c r="D44" i="3"/>
  <c r="B16" i="11" s="1"/>
  <c r="D40" i="3"/>
  <c r="B12" i="11" s="1"/>
  <c r="B10" i="11"/>
  <c r="B8" i="11"/>
  <c r="B78" i="13"/>
  <c r="N19" i="13" s="1"/>
  <c r="B29" i="13"/>
  <c r="N17" i="13" s="1"/>
  <c r="D22" i="11" l="1"/>
  <c r="C22" i="11" s="1"/>
  <c r="D21" i="11"/>
  <c r="C21" i="11" s="1"/>
  <c r="D20" i="11"/>
  <c r="C20" i="11" s="1"/>
  <c r="D19" i="11"/>
  <c r="C19" i="11" s="1"/>
  <c r="D18" i="11"/>
  <c r="C18" i="11" s="1"/>
  <c r="I45" i="13" l="1"/>
  <c r="I56" i="13"/>
  <c r="I67" i="13"/>
  <c r="I26" i="13"/>
  <c r="I19" i="13"/>
  <c r="I17" i="13"/>
  <c r="I18" i="13"/>
  <c r="I21" i="13"/>
  <c r="F114" i="13"/>
  <c r="E114" i="13"/>
  <c r="F110" i="13"/>
  <c r="E110" i="13"/>
  <c r="F109" i="13"/>
  <c r="E109" i="13"/>
  <c r="F108" i="13"/>
  <c r="E108" i="13"/>
  <c r="F107" i="13"/>
  <c r="E107" i="13"/>
  <c r="F106" i="13"/>
  <c r="E106" i="13"/>
  <c r="F105" i="13"/>
  <c r="E105" i="13"/>
  <c r="F104" i="13"/>
  <c r="E104" i="13"/>
  <c r="F80" i="13"/>
  <c r="E80" i="13"/>
  <c r="F65" i="13"/>
  <c r="E65" i="13"/>
  <c r="E32" i="13"/>
  <c r="F32" i="13"/>
  <c r="E33" i="13"/>
  <c r="F33" i="13"/>
  <c r="E34" i="13"/>
  <c r="F34" i="13"/>
  <c r="E35" i="13"/>
  <c r="F35" i="13"/>
  <c r="E36" i="13"/>
  <c r="F36" i="13"/>
  <c r="E37" i="13"/>
  <c r="F37" i="13"/>
  <c r="P15" i="4"/>
  <c r="Q15" i="4"/>
  <c r="V9" i="4"/>
  <c r="K9" i="4" s="1"/>
  <c r="P9" i="4"/>
  <c r="M9" i="4"/>
  <c r="O9" i="4" s="1"/>
  <c r="X9" i="4" l="1"/>
  <c r="N9" i="4"/>
  <c r="P4" i="4" l="1"/>
  <c r="P5" i="4"/>
  <c r="P6" i="4"/>
  <c r="P7" i="4"/>
  <c r="M3" i="4"/>
  <c r="F31" i="13"/>
  <c r="F19" i="13"/>
  <c r="E31" i="13"/>
  <c r="E19" i="13"/>
  <c r="O3" i="4" l="1"/>
  <c r="X3" i="4"/>
  <c r="N3" i="4"/>
  <c r="Q19" i="4" l="1"/>
  <c r="Q20" i="4"/>
  <c r="Q14" i="4"/>
  <c r="B7" i="13"/>
  <c r="Q12" i="4"/>
  <c r="R13" i="13"/>
  <c r="N13" i="13"/>
  <c r="J13" i="13"/>
  <c r="G11" i="4"/>
  <c r="B59" i="4" l="1"/>
  <c r="B18" i="4"/>
  <c r="B19" i="4"/>
  <c r="B20" i="4"/>
  <c r="B16" i="4"/>
  <c r="B17" i="4"/>
  <c r="B81" i="4"/>
  <c r="B80" i="4"/>
  <c r="B79" i="4"/>
  <c r="B87" i="4"/>
  <c r="B41" i="4"/>
  <c r="B35" i="4"/>
  <c r="B58" i="4"/>
  <c r="B76" i="4"/>
  <c r="B75" i="4"/>
  <c r="B77" i="4"/>
  <c r="B109" i="4"/>
  <c r="B100" i="4"/>
  <c r="B96" i="4"/>
  <c r="B84" i="4"/>
  <c r="B93" i="4"/>
  <c r="B103" i="4"/>
  <c r="B99" i="4"/>
  <c r="B92" i="4"/>
  <c r="B85" i="4"/>
  <c r="B94" i="4"/>
  <c r="B104" i="4"/>
  <c r="B108" i="4"/>
  <c r="B111" i="4"/>
  <c r="B86" i="4"/>
  <c r="B95" i="4"/>
  <c r="B105" i="4"/>
  <c r="B91" i="4"/>
  <c r="B88" i="4"/>
  <c r="B97" i="4"/>
  <c r="B106" i="4"/>
  <c r="B101" i="4"/>
  <c r="B89" i="4"/>
  <c r="B98" i="4"/>
  <c r="B107" i="4"/>
  <c r="B90" i="4"/>
  <c r="B110" i="4"/>
  <c r="B102" i="4"/>
  <c r="B83" i="4"/>
  <c r="B82" i="4"/>
  <c r="B60" i="4"/>
  <c r="B61" i="4"/>
  <c r="B62" i="4"/>
  <c r="B64" i="4"/>
  <c r="B65" i="4"/>
  <c r="B63" i="4"/>
  <c r="B71" i="4"/>
  <c r="B27" i="4"/>
  <c r="B52" i="4"/>
  <c r="B22" i="4"/>
  <c r="B21" i="4"/>
  <c r="B78" i="4"/>
  <c r="B68" i="4"/>
  <c r="B67" i="4"/>
  <c r="B54" i="4"/>
  <c r="B55" i="4"/>
  <c r="B56" i="4"/>
  <c r="B57" i="4"/>
  <c r="B53" i="4"/>
  <c r="B66" i="4"/>
  <c r="B74" i="4"/>
  <c r="B69" i="4"/>
  <c r="B70" i="4"/>
  <c r="B72" i="4"/>
  <c r="B73" i="4"/>
  <c r="B26" i="4"/>
  <c r="B36" i="4"/>
  <c r="B28" i="4"/>
  <c r="B37" i="4"/>
  <c r="B29" i="4"/>
  <c r="B38" i="4"/>
  <c r="B30" i="4"/>
  <c r="B39" i="4"/>
  <c r="B33" i="4"/>
  <c r="B25" i="4"/>
  <c r="B31" i="4"/>
  <c r="B40" i="4"/>
  <c r="B32" i="4"/>
  <c r="B24" i="4"/>
  <c r="B34" i="4"/>
  <c r="B46" i="4"/>
  <c r="B45" i="4"/>
  <c r="B47" i="4"/>
  <c r="B50" i="4"/>
  <c r="B48" i="4"/>
  <c r="B51" i="4"/>
  <c r="B13" i="4"/>
  <c r="B43" i="4"/>
  <c r="B42" i="4"/>
  <c r="B49" i="4"/>
  <c r="B44" i="4"/>
  <c r="B15" i="4"/>
  <c r="B23" i="4"/>
  <c r="B14" i="4"/>
  <c r="B12" i="4"/>
  <c r="H11" i="4"/>
  <c r="B7" i="11"/>
  <c r="G37" i="4"/>
  <c r="G100" i="4"/>
  <c r="G57" i="4"/>
  <c r="G55" i="4"/>
  <c r="G76" i="4"/>
  <c r="G31" i="4"/>
  <c r="G46" i="4"/>
  <c r="G104" i="4"/>
  <c r="G44" i="4"/>
  <c r="G103" i="4"/>
  <c r="G49" i="4"/>
  <c r="G94" i="4"/>
  <c r="G33" i="4"/>
  <c r="G64" i="4"/>
  <c r="G101" i="4"/>
  <c r="G12" i="4"/>
  <c r="G75" i="4"/>
  <c r="G15" i="4"/>
  <c r="G80" i="4"/>
  <c r="G102" i="4"/>
  <c r="G32" i="4"/>
  <c r="G19" i="4"/>
  <c r="G67" i="4"/>
  <c r="G45" i="4"/>
  <c r="E70" i="4" l="1"/>
  <c r="E73" i="4"/>
  <c r="E68" i="4"/>
  <c r="K11" i="23"/>
  <c r="G77" i="4"/>
  <c r="H19" i="4"/>
  <c r="E12" i="11"/>
  <c r="B113" i="13" l="1"/>
  <c r="S11" i="4"/>
  <c r="V11" i="4" s="1"/>
  <c r="I11" i="4"/>
  <c r="K11" i="4" l="1"/>
  <c r="L11" i="4" l="1"/>
  <c r="M11" i="4"/>
  <c r="G78" i="4"/>
  <c r="G38" i="4"/>
  <c r="G22" i="4"/>
  <c r="G52" i="4"/>
  <c r="A2" i="17" l="1"/>
  <c r="A2" i="20"/>
  <c r="D3" i="3"/>
  <c r="A2" i="18"/>
  <c r="I52" i="4"/>
  <c r="S52" i="4"/>
  <c r="V52" i="4" s="1"/>
  <c r="K52" i="4" s="1"/>
  <c r="I22" i="4"/>
  <c r="S22" i="4"/>
  <c r="V22" i="4" s="1"/>
  <c r="I21" i="4"/>
  <c r="S21" i="4"/>
  <c r="V21" i="4" s="1"/>
  <c r="K21" i="4" s="1"/>
  <c r="I78" i="4"/>
  <c r="S78" i="4"/>
  <c r="V78" i="4" s="1"/>
  <c r="I8" i="4"/>
  <c r="S8" i="4"/>
  <c r="V8" i="4" s="1"/>
  <c r="K8" i="4" s="1"/>
  <c r="G65" i="4"/>
  <c r="S64" i="4"/>
  <c r="V64" i="4" s="1"/>
  <c r="I64" i="4"/>
  <c r="I38" i="4"/>
  <c r="S38" i="4"/>
  <c r="V38" i="4" s="1"/>
  <c r="K38" i="4" s="1"/>
  <c r="M10" i="4"/>
  <c r="X11" i="4"/>
  <c r="N11" i="4"/>
  <c r="O11" i="4"/>
  <c r="G73" i="4"/>
  <c r="G47" i="4"/>
  <c r="G53" i="4"/>
  <c r="G60" i="4"/>
  <c r="G56" i="4"/>
  <c r="G24" i="4"/>
  <c r="G25" i="4"/>
  <c r="G66" i="4"/>
  <c r="G82" i="4"/>
  <c r="G29" i="4"/>
  <c r="G48" i="4"/>
  <c r="G62" i="4"/>
  <c r="G14" i="4"/>
  <c r="G79" i="4"/>
  <c r="G30" i="4"/>
  <c r="G36" i="4"/>
  <c r="G61" i="4"/>
  <c r="G70" i="4"/>
  <c r="G42" i="4"/>
  <c r="G39" i="4"/>
  <c r="G43" i="4"/>
  <c r="G23" i="4"/>
  <c r="G63" i="4"/>
  <c r="G50" i="4"/>
  <c r="G13" i="4"/>
  <c r="G20" i="4"/>
  <c r="G26" i="4"/>
  <c r="G54" i="4"/>
  <c r="G28" i="4"/>
  <c r="G68" i="4" l="1"/>
  <c r="B100" i="13"/>
  <c r="B61" i="13"/>
  <c r="H78" i="4"/>
  <c r="K78" i="4" s="1"/>
  <c r="L78" i="4" s="1"/>
  <c r="AQ2" i="5" s="1"/>
  <c r="D4" i="3"/>
  <c r="I82" i="4"/>
  <c r="S82" i="4"/>
  <c r="V82" i="4" s="1"/>
  <c r="K82" i="4" s="1"/>
  <c r="I79" i="4"/>
  <c r="S79" i="4"/>
  <c r="V79" i="4" s="1"/>
  <c r="K79" i="4" s="1"/>
  <c r="G27" i="4"/>
  <c r="H57" i="4"/>
  <c r="H46" i="4"/>
  <c r="G71" i="4"/>
  <c r="L21" i="4"/>
  <c r="AR2" i="5" s="1"/>
  <c r="L52" i="4"/>
  <c r="P2" i="20" s="1"/>
  <c r="L8" i="4"/>
  <c r="L38" i="4"/>
  <c r="R2" i="5" s="1"/>
  <c r="H22" i="4"/>
  <c r="K22" i="4" s="1"/>
  <c r="M22" i="4" s="1"/>
  <c r="M52" i="4"/>
  <c r="D68" i="13" s="1"/>
  <c r="M21" i="4"/>
  <c r="M8" i="4"/>
  <c r="G69" i="4"/>
  <c r="I56" i="4"/>
  <c r="S56" i="4"/>
  <c r="V56" i="4" s="1"/>
  <c r="I53" i="4"/>
  <c r="S53" i="4"/>
  <c r="V53" i="4" s="1"/>
  <c r="I57" i="4"/>
  <c r="S57" i="4"/>
  <c r="V57" i="4" s="1"/>
  <c r="I60" i="4"/>
  <c r="S60" i="4"/>
  <c r="V60" i="4" s="1"/>
  <c r="K60" i="4" s="1"/>
  <c r="I54" i="4"/>
  <c r="S54" i="4"/>
  <c r="V54" i="4" s="1"/>
  <c r="I61" i="4"/>
  <c r="S61" i="4"/>
  <c r="V61" i="4" s="1"/>
  <c r="K61" i="4" s="1"/>
  <c r="I55" i="4"/>
  <c r="S55" i="4"/>
  <c r="V55" i="4" s="1"/>
  <c r="I73" i="4"/>
  <c r="H73" i="4" s="1"/>
  <c r="S73" i="4"/>
  <c r="V73" i="4" s="1"/>
  <c r="I66" i="4"/>
  <c r="S66" i="4"/>
  <c r="V66" i="4" s="1"/>
  <c r="K66" i="4" s="1"/>
  <c r="S67" i="4"/>
  <c r="V67" i="4" s="1"/>
  <c r="K67" i="4" s="1"/>
  <c r="I67" i="4"/>
  <c r="I70" i="4"/>
  <c r="H70" i="4" s="1"/>
  <c r="S70" i="4"/>
  <c r="V70" i="4" s="1"/>
  <c r="G51" i="4"/>
  <c r="B48" i="21" s="1"/>
  <c r="U36" i="21" s="1"/>
  <c r="H45" i="4"/>
  <c r="I26" i="4"/>
  <c r="S26" i="4"/>
  <c r="V26" i="4" s="1"/>
  <c r="K26" i="4" s="1"/>
  <c r="I37" i="4"/>
  <c r="S37" i="4"/>
  <c r="V37" i="4" s="1"/>
  <c r="K37" i="4" s="1"/>
  <c r="I28" i="4"/>
  <c r="S28" i="4"/>
  <c r="V28" i="4" s="1"/>
  <c r="K28" i="4" s="1"/>
  <c r="I47" i="4"/>
  <c r="S47" i="4"/>
  <c r="V47" i="4" s="1"/>
  <c r="K47" i="4" s="1"/>
  <c r="I63" i="4"/>
  <c r="S63" i="4"/>
  <c r="V63" i="4" s="1"/>
  <c r="K63" i="4" s="1"/>
  <c r="I45" i="4"/>
  <c r="S45" i="4"/>
  <c r="V45" i="4" s="1"/>
  <c r="I34" i="4"/>
  <c r="H34" i="4" s="1"/>
  <c r="S34" i="4"/>
  <c r="V34" i="4" s="1"/>
  <c r="I62" i="4"/>
  <c r="S62" i="4"/>
  <c r="V62" i="4" s="1"/>
  <c r="K62" i="4" s="1"/>
  <c r="I33" i="4"/>
  <c r="S33" i="4"/>
  <c r="V33" i="4" s="1"/>
  <c r="I46" i="4"/>
  <c r="S46" i="4"/>
  <c r="V46" i="4" s="1"/>
  <c r="I29" i="4"/>
  <c r="S29" i="4"/>
  <c r="V29" i="4" s="1"/>
  <c r="K29" i="4" s="1"/>
  <c r="I40" i="4"/>
  <c r="S40" i="4"/>
  <c r="V40" i="4" s="1"/>
  <c r="I39" i="4"/>
  <c r="S39" i="4"/>
  <c r="V39" i="4" s="1"/>
  <c r="I48" i="4"/>
  <c r="S48" i="4"/>
  <c r="V48" i="4" s="1"/>
  <c r="K48" i="4" s="1"/>
  <c r="I65" i="4"/>
  <c r="S65" i="4"/>
  <c r="V65" i="4" s="1"/>
  <c r="S30" i="4"/>
  <c r="V30" i="4" s="1"/>
  <c r="K30" i="4" s="1"/>
  <c r="I30" i="4"/>
  <c r="I13" i="4"/>
  <c r="S13" i="4"/>
  <c r="V13" i="4" s="1"/>
  <c r="K13" i="4" s="1"/>
  <c r="I36" i="4"/>
  <c r="S36" i="4"/>
  <c r="V36" i="4" s="1"/>
  <c r="K36" i="4" s="1"/>
  <c r="I43" i="4"/>
  <c r="S43" i="4"/>
  <c r="V43" i="4" s="1"/>
  <c r="K43" i="4" s="1"/>
  <c r="S32" i="4"/>
  <c r="V32" i="4" s="1"/>
  <c r="K32" i="4" s="1"/>
  <c r="I32" i="4"/>
  <c r="S50" i="4"/>
  <c r="V50" i="4" s="1"/>
  <c r="I50" i="4"/>
  <c r="I44" i="4"/>
  <c r="S44" i="4"/>
  <c r="V44" i="4" s="1"/>
  <c r="K44" i="4" s="1"/>
  <c r="I31" i="4"/>
  <c r="S31" i="4"/>
  <c r="V31" i="4" s="1"/>
  <c r="K31" i="4" s="1"/>
  <c r="I42" i="4"/>
  <c r="S42" i="4"/>
  <c r="V42" i="4" s="1"/>
  <c r="K42" i="4" s="1"/>
  <c r="I49" i="4"/>
  <c r="S49" i="4"/>
  <c r="V49" i="4" s="1"/>
  <c r="S24" i="4"/>
  <c r="V24" i="4" s="1"/>
  <c r="K24" i="4" s="1"/>
  <c r="I24" i="4"/>
  <c r="I25" i="4"/>
  <c r="S25" i="4"/>
  <c r="V25" i="4" s="1"/>
  <c r="K25" i="4" s="1"/>
  <c r="I23" i="4"/>
  <c r="S23" i="4"/>
  <c r="V23" i="4" s="1"/>
  <c r="K23" i="4" s="1"/>
  <c r="I10" i="4"/>
  <c r="S10" i="4"/>
  <c r="V10" i="4" s="1"/>
  <c r="K10" i="4" s="1"/>
  <c r="N10" i="4"/>
  <c r="X10" i="4"/>
  <c r="O10" i="4"/>
  <c r="I12" i="4"/>
  <c r="I15" i="4"/>
  <c r="S15" i="4"/>
  <c r="V15" i="4" s="1"/>
  <c r="K15" i="4" s="1"/>
  <c r="M4" i="4"/>
  <c r="X4" i="4" s="1"/>
  <c r="M6" i="4"/>
  <c r="X6" i="4" s="1"/>
  <c r="M7" i="4"/>
  <c r="X7" i="4" s="1"/>
  <c r="I20" i="4"/>
  <c r="S20" i="4"/>
  <c r="S12" i="4"/>
  <c r="S14" i="4"/>
  <c r="I14" i="4"/>
  <c r="S19" i="4"/>
  <c r="I19" i="4"/>
  <c r="G84" i="4"/>
  <c r="G85" i="4"/>
  <c r="G17" i="4"/>
  <c r="G87" i="4"/>
  <c r="G88" i="4"/>
  <c r="G96" i="4"/>
  <c r="G59" i="4"/>
  <c r="G109" i="4"/>
  <c r="G90" i="4"/>
  <c r="G72" i="4" l="1"/>
  <c r="B123" i="13" s="1"/>
  <c r="I59" i="4"/>
  <c r="S59" i="4"/>
  <c r="V59" i="4" s="1"/>
  <c r="K59" i="4" s="1"/>
  <c r="D9" i="23"/>
  <c r="K73" i="4"/>
  <c r="L73" i="4" s="1"/>
  <c r="K70" i="4"/>
  <c r="L70" i="4" s="1"/>
  <c r="G41" i="4"/>
  <c r="G35" i="4"/>
  <c r="B141" i="13"/>
  <c r="V19" i="13" s="1"/>
  <c r="B45" i="19"/>
  <c r="I17" i="4"/>
  <c r="S17" i="4"/>
  <c r="V17" i="4" s="1"/>
  <c r="K17" i="4" s="1"/>
  <c r="B105" i="13"/>
  <c r="G58" i="4"/>
  <c r="F9" i="23" s="1"/>
  <c r="I87" i="4"/>
  <c r="S87" i="4"/>
  <c r="V87" i="4" s="1"/>
  <c r="W58" i="13"/>
  <c r="C100" i="13"/>
  <c r="B86" i="21"/>
  <c r="B85" i="21"/>
  <c r="C61" i="13"/>
  <c r="W28" i="13"/>
  <c r="M78" i="4"/>
  <c r="Y78" i="4" s="1"/>
  <c r="G83" i="4"/>
  <c r="E111" i="4"/>
  <c r="E110" i="4"/>
  <c r="E99" i="4"/>
  <c r="E98" i="4"/>
  <c r="E97" i="4"/>
  <c r="E102" i="4"/>
  <c r="E101" i="4"/>
  <c r="I109" i="4"/>
  <c r="S109" i="4"/>
  <c r="V109" i="4" s="1"/>
  <c r="K109" i="4" s="1"/>
  <c r="I100" i="4"/>
  <c r="S100" i="4"/>
  <c r="V100" i="4" s="1"/>
  <c r="K100" i="4" s="1"/>
  <c r="I96" i="4"/>
  <c r="S96" i="4"/>
  <c r="V96" i="4" s="1"/>
  <c r="K96" i="4" s="1"/>
  <c r="I90" i="4"/>
  <c r="S90" i="4"/>
  <c r="V90" i="4" s="1"/>
  <c r="K90" i="4" s="1"/>
  <c r="I88" i="4"/>
  <c r="S88" i="4"/>
  <c r="V88" i="4" s="1"/>
  <c r="K88" i="4" s="1"/>
  <c r="I85" i="4"/>
  <c r="S85" i="4"/>
  <c r="V85" i="4" s="1"/>
  <c r="K85" i="4" s="1"/>
  <c r="S84" i="4"/>
  <c r="V84" i="4" s="1"/>
  <c r="K84" i="4" s="1"/>
  <c r="I84" i="4"/>
  <c r="L67" i="4"/>
  <c r="AT2" i="5"/>
  <c r="N2" i="17"/>
  <c r="L82" i="4"/>
  <c r="M82" i="4"/>
  <c r="L23" i="4"/>
  <c r="L13" i="4"/>
  <c r="L79" i="4"/>
  <c r="M79" i="4"/>
  <c r="B8" i="13"/>
  <c r="K57" i="4"/>
  <c r="L57" i="4" s="1"/>
  <c r="AF2" i="5" s="1"/>
  <c r="I71" i="4"/>
  <c r="S71" i="4"/>
  <c r="V71" i="4" s="1"/>
  <c r="K71" i="4" s="1"/>
  <c r="L62" i="4"/>
  <c r="L66" i="4"/>
  <c r="AK2" i="5" s="1"/>
  <c r="L29" i="4"/>
  <c r="AV2" i="5" s="1"/>
  <c r="L10" i="4"/>
  <c r="C2" i="20" s="1"/>
  <c r="I69" i="4"/>
  <c r="B106" i="13"/>
  <c r="K46" i="4"/>
  <c r="L46" i="4" s="1"/>
  <c r="W2" i="5" s="1"/>
  <c r="S51" i="4"/>
  <c r="V51" i="4" s="1"/>
  <c r="B67" i="13"/>
  <c r="U50" i="13" s="1"/>
  <c r="L24" i="4"/>
  <c r="J2" i="5" s="1"/>
  <c r="L32" i="4"/>
  <c r="O2" i="5" s="1"/>
  <c r="L30" i="4"/>
  <c r="M2" i="5" s="1"/>
  <c r="L15" i="4"/>
  <c r="L43" i="4"/>
  <c r="T2" i="5" s="1"/>
  <c r="H65" i="4"/>
  <c r="H64" i="4" s="1"/>
  <c r="K64" i="4" s="1"/>
  <c r="L64" i="4" s="1"/>
  <c r="L28" i="4"/>
  <c r="AU2" i="5" s="1"/>
  <c r="H49" i="4"/>
  <c r="K49" i="4" s="1"/>
  <c r="L49" i="4" s="1"/>
  <c r="L44" i="4"/>
  <c r="U2" i="5" s="1"/>
  <c r="L36" i="4"/>
  <c r="P2" i="5" s="1"/>
  <c r="L48" i="4"/>
  <c r="Y2" i="5" s="1"/>
  <c r="L37" i="4"/>
  <c r="Q2" i="5" s="1"/>
  <c r="L61" i="4"/>
  <c r="AH2" i="5" s="1"/>
  <c r="H50" i="4"/>
  <c r="K50" i="4" s="1"/>
  <c r="L50" i="4" s="1"/>
  <c r="L22" i="4"/>
  <c r="AS2" i="5" s="1"/>
  <c r="L63" i="4"/>
  <c r="AI2" i="5" s="1"/>
  <c r="L26" i="4"/>
  <c r="L2" i="20" s="1"/>
  <c r="L42" i="4"/>
  <c r="S2" i="5" s="1"/>
  <c r="L25" i="4"/>
  <c r="K2" i="20" s="1"/>
  <c r="L31" i="4"/>
  <c r="N2" i="5" s="1"/>
  <c r="L47" i="4"/>
  <c r="X2" i="5" s="1"/>
  <c r="L60" i="4"/>
  <c r="AG2" i="5" s="1"/>
  <c r="S27" i="4"/>
  <c r="V27" i="4" s="1"/>
  <c r="K27" i="4" s="1"/>
  <c r="I27" i="4"/>
  <c r="N52" i="4"/>
  <c r="X52" i="4"/>
  <c r="C49" i="21" s="1"/>
  <c r="G49" i="21" s="1"/>
  <c r="X39" i="21" s="1"/>
  <c r="O52" i="4"/>
  <c r="N22" i="4"/>
  <c r="O22" i="4"/>
  <c r="X22" i="4"/>
  <c r="O21" i="4"/>
  <c r="N21" i="4"/>
  <c r="X21" i="4"/>
  <c r="O8" i="4"/>
  <c r="N8" i="4"/>
  <c r="X8" i="4"/>
  <c r="S69" i="4"/>
  <c r="V69" i="4" s="1"/>
  <c r="K69" i="4" s="1"/>
  <c r="I68" i="4"/>
  <c r="H68" i="4" s="1"/>
  <c r="S68" i="4"/>
  <c r="V68" i="4" s="1"/>
  <c r="I51" i="4"/>
  <c r="H51" i="4" s="1"/>
  <c r="M60" i="4"/>
  <c r="D86" i="13" s="1"/>
  <c r="M61" i="4"/>
  <c r="D87" i="13" s="1"/>
  <c r="M67" i="4"/>
  <c r="D104" i="13" s="1"/>
  <c r="M66" i="4"/>
  <c r="D91" i="13" s="1"/>
  <c r="K45" i="4"/>
  <c r="L45" i="4" s="1"/>
  <c r="M48" i="4"/>
  <c r="D52" i="13" s="1"/>
  <c r="M28" i="4"/>
  <c r="M13" i="4"/>
  <c r="M30" i="4"/>
  <c r="D38" i="13" s="1"/>
  <c r="M44" i="4"/>
  <c r="D48" i="13" s="1"/>
  <c r="M43" i="4"/>
  <c r="D47" i="13" s="1"/>
  <c r="M63" i="4"/>
  <c r="D89" i="13" s="1"/>
  <c r="M26" i="4"/>
  <c r="M42" i="4"/>
  <c r="D46" i="13" s="1"/>
  <c r="M36" i="4"/>
  <c r="D42" i="13" s="1"/>
  <c r="M29" i="4"/>
  <c r="M62" i="4"/>
  <c r="D88" i="13" s="1"/>
  <c r="M47" i="4"/>
  <c r="D51" i="13" s="1"/>
  <c r="M24" i="4"/>
  <c r="M23" i="4"/>
  <c r="M25" i="4"/>
  <c r="M15" i="4"/>
  <c r="A2" i="5"/>
  <c r="O4" i="4"/>
  <c r="N4" i="4"/>
  <c r="M5" i="4"/>
  <c r="X5" i="4" s="1"/>
  <c r="O6" i="4"/>
  <c r="N6" i="4"/>
  <c r="O7" i="4"/>
  <c r="N7" i="4"/>
  <c r="V12" i="4"/>
  <c r="V19" i="4"/>
  <c r="K19" i="4" s="1"/>
  <c r="L19" i="4" s="1"/>
  <c r="V14" i="4"/>
  <c r="K14" i="4" s="1"/>
  <c r="L14" i="4" s="1"/>
  <c r="V20" i="4"/>
  <c r="K20" i="4" s="1"/>
  <c r="G86" i="4"/>
  <c r="G99" i="4"/>
  <c r="G108" i="4"/>
  <c r="G81" i="4"/>
  <c r="G91" i="4"/>
  <c r="G106" i="4"/>
  <c r="G111" i="4"/>
  <c r="G92" i="4"/>
  <c r="G93" i="4"/>
  <c r="G97" i="4"/>
  <c r="G105" i="4"/>
  <c r="G98" i="4"/>
  <c r="G89" i="4"/>
  <c r="G16" i="4"/>
  <c r="G107" i="4"/>
  <c r="G18" i="4"/>
  <c r="G110" i="4"/>
  <c r="G74" i="4" l="1"/>
  <c r="G3" i="4" s="1"/>
  <c r="C123" i="13"/>
  <c r="B124" i="13" s="1"/>
  <c r="L59" i="4"/>
  <c r="BF2" i="5" s="1"/>
  <c r="M59" i="4"/>
  <c r="M73" i="4"/>
  <c r="D109" i="13" s="1"/>
  <c r="M70" i="4"/>
  <c r="D107" i="13" s="1"/>
  <c r="W76" i="13"/>
  <c r="L17" i="4"/>
  <c r="X2" i="17" s="1"/>
  <c r="M17" i="4"/>
  <c r="I16" i="4"/>
  <c r="S16" i="4"/>
  <c r="V16" i="4" s="1"/>
  <c r="K16" i="4" s="1"/>
  <c r="I18" i="4"/>
  <c r="S18" i="4"/>
  <c r="V18" i="4" s="1"/>
  <c r="K18" i="4" s="1"/>
  <c r="I9" i="23"/>
  <c r="AM2" i="5"/>
  <c r="U2" i="17"/>
  <c r="AN2" i="5"/>
  <c r="V2" i="17"/>
  <c r="E56" i="4"/>
  <c r="E55" i="4"/>
  <c r="E54" i="4"/>
  <c r="E53" i="4"/>
  <c r="E81" i="4"/>
  <c r="I81" i="4"/>
  <c r="S81" i="4"/>
  <c r="V81" i="4" s="1"/>
  <c r="I80" i="4"/>
  <c r="S80" i="4"/>
  <c r="V80" i="4" s="1"/>
  <c r="K80" i="4" s="1"/>
  <c r="E87" i="4"/>
  <c r="W53" i="21" s="1"/>
  <c r="B101" i="13"/>
  <c r="B102" i="13" s="1"/>
  <c r="V17" i="13" s="1"/>
  <c r="X58" i="13"/>
  <c r="B87" i="21"/>
  <c r="C87" i="21" s="1"/>
  <c r="C85" i="21"/>
  <c r="C86" i="21"/>
  <c r="B84" i="21"/>
  <c r="B62" i="13"/>
  <c r="B63" i="13" s="1"/>
  <c r="N18" i="13" s="1"/>
  <c r="X28" i="13"/>
  <c r="E32" i="4"/>
  <c r="M32" i="4" s="1"/>
  <c r="D40" i="13" s="1"/>
  <c r="E33" i="4"/>
  <c r="H33" i="4" s="1"/>
  <c r="K33" i="4" s="1"/>
  <c r="L33" i="4" s="1"/>
  <c r="AW2" i="5" s="1"/>
  <c r="E31" i="4"/>
  <c r="M31" i="4" s="1"/>
  <c r="E39" i="4"/>
  <c r="H39" i="4" s="1"/>
  <c r="K39" i="4" s="1"/>
  <c r="L39" i="4" s="1"/>
  <c r="AY2" i="5" s="1"/>
  <c r="E37" i="4"/>
  <c r="M37" i="4" s="1"/>
  <c r="D43" i="13" s="1"/>
  <c r="E38" i="4"/>
  <c r="M38" i="4" s="1"/>
  <c r="I41" i="4"/>
  <c r="S41" i="4"/>
  <c r="I35" i="4"/>
  <c r="S35" i="4"/>
  <c r="V35" i="4" s="1"/>
  <c r="K35" i="4" s="1"/>
  <c r="S58" i="4"/>
  <c r="V58" i="4" s="1"/>
  <c r="K58" i="4" s="1"/>
  <c r="I58" i="4"/>
  <c r="E76" i="4"/>
  <c r="I75" i="4"/>
  <c r="S75" i="4"/>
  <c r="V75" i="4" s="1"/>
  <c r="K75" i="4" s="1"/>
  <c r="I76" i="4"/>
  <c r="S76" i="4"/>
  <c r="V76" i="4" s="1"/>
  <c r="K51" i="4"/>
  <c r="M51" i="4" s="1"/>
  <c r="D114" i="13"/>
  <c r="U73" i="13" s="1"/>
  <c r="BA2" i="5"/>
  <c r="M2" i="20"/>
  <c r="BB2" i="5"/>
  <c r="N2" i="20"/>
  <c r="N78" i="4"/>
  <c r="O78" i="4"/>
  <c r="X78" i="4"/>
  <c r="B8" i="19"/>
  <c r="I3" i="19" s="1"/>
  <c r="B8" i="21"/>
  <c r="I3" i="21" s="1"/>
  <c r="H2" i="17"/>
  <c r="H2" i="20"/>
  <c r="M2" i="17"/>
  <c r="J2" i="17"/>
  <c r="J2" i="20"/>
  <c r="F2" i="17"/>
  <c r="F2" i="20"/>
  <c r="G2" i="17"/>
  <c r="G2" i="20"/>
  <c r="G95" i="4"/>
  <c r="I95" i="4" s="1"/>
  <c r="L109" i="4"/>
  <c r="M109" i="4"/>
  <c r="L100" i="4"/>
  <c r="M100" i="4"/>
  <c r="L96" i="4"/>
  <c r="M96" i="4"/>
  <c r="I97" i="4"/>
  <c r="H97" i="4" s="1"/>
  <c r="S97" i="4"/>
  <c r="V97" i="4" s="1"/>
  <c r="S94" i="4"/>
  <c r="V94" i="4" s="1"/>
  <c r="K94" i="4" s="1"/>
  <c r="I94" i="4"/>
  <c r="I93" i="4"/>
  <c r="S93" i="4"/>
  <c r="V93" i="4" s="1"/>
  <c r="K93" i="4" s="1"/>
  <c r="I102" i="4"/>
  <c r="H102" i="4" s="1"/>
  <c r="S102" i="4"/>
  <c r="V102" i="4" s="1"/>
  <c r="I105" i="4"/>
  <c r="S105" i="4"/>
  <c r="V105" i="4" s="1"/>
  <c r="S106" i="4"/>
  <c r="V106" i="4" s="1"/>
  <c r="I106" i="4"/>
  <c r="I108" i="4"/>
  <c r="S108" i="4"/>
  <c r="V108" i="4" s="1"/>
  <c r="I110" i="4"/>
  <c r="H110" i="4" s="1"/>
  <c r="S110" i="4"/>
  <c r="V110" i="4" s="1"/>
  <c r="I103" i="4"/>
  <c r="S103" i="4"/>
  <c r="V103" i="4" s="1"/>
  <c r="S104" i="4"/>
  <c r="V104" i="4" s="1"/>
  <c r="I104" i="4"/>
  <c r="S98" i="4"/>
  <c r="V98" i="4" s="1"/>
  <c r="I98" i="4"/>
  <c r="H98" i="4" s="1"/>
  <c r="I107" i="4"/>
  <c r="S107" i="4"/>
  <c r="V107" i="4" s="1"/>
  <c r="I92" i="4"/>
  <c r="S92" i="4"/>
  <c r="V92" i="4" s="1"/>
  <c r="K92" i="4" s="1"/>
  <c r="I101" i="4"/>
  <c r="H101" i="4" s="1"/>
  <c r="S101" i="4"/>
  <c r="V101" i="4" s="1"/>
  <c r="I111" i="4"/>
  <c r="H111" i="4" s="1"/>
  <c r="S111" i="4"/>
  <c r="V111" i="4" s="1"/>
  <c r="I99" i="4"/>
  <c r="H99" i="4" s="1"/>
  <c r="S99" i="4"/>
  <c r="V99" i="4" s="1"/>
  <c r="I91" i="4"/>
  <c r="S91" i="4"/>
  <c r="V91" i="4" s="1"/>
  <c r="K91" i="4" s="1"/>
  <c r="L90" i="4"/>
  <c r="V2" i="20" s="1"/>
  <c r="M90" i="4"/>
  <c r="I89" i="4"/>
  <c r="S89" i="4"/>
  <c r="V89" i="4" s="1"/>
  <c r="K89" i="4" s="1"/>
  <c r="L88" i="4"/>
  <c r="T2" i="20" s="1"/>
  <c r="M88" i="4"/>
  <c r="I86" i="4"/>
  <c r="S86" i="4"/>
  <c r="V86" i="4" s="1"/>
  <c r="K86" i="4" s="1"/>
  <c r="L85" i="4"/>
  <c r="R2" i="20" s="1"/>
  <c r="M85" i="4"/>
  <c r="L84" i="4"/>
  <c r="Q2" i="20" s="1"/>
  <c r="M84" i="4"/>
  <c r="I83" i="4"/>
  <c r="S83" i="4"/>
  <c r="V83" i="4" s="1"/>
  <c r="K83" i="4" s="1"/>
  <c r="C68" i="13"/>
  <c r="G68" i="13" s="1"/>
  <c r="X53" i="13" s="1"/>
  <c r="C2" i="5"/>
  <c r="C2" i="18"/>
  <c r="C2" i="17"/>
  <c r="K2" i="5"/>
  <c r="K2" i="17"/>
  <c r="L2" i="5"/>
  <c r="L2" i="17"/>
  <c r="G2" i="5"/>
  <c r="O82" i="4"/>
  <c r="N82" i="4"/>
  <c r="X82" i="4"/>
  <c r="O79" i="4"/>
  <c r="D34" i="19"/>
  <c r="N79" i="4"/>
  <c r="X79" i="4"/>
  <c r="L27" i="4"/>
  <c r="M57" i="4"/>
  <c r="D84" i="13" s="1"/>
  <c r="L71" i="4"/>
  <c r="M71" i="4"/>
  <c r="Y71" i="4" s="1"/>
  <c r="L69" i="4"/>
  <c r="AL2" i="5" s="1"/>
  <c r="M64" i="4"/>
  <c r="N64" i="4" s="1"/>
  <c r="M46" i="4"/>
  <c r="D50" i="13" s="1"/>
  <c r="M69" i="4"/>
  <c r="D106" i="13" s="1"/>
  <c r="M50" i="4"/>
  <c r="D66" i="13" s="1"/>
  <c r="M49" i="4"/>
  <c r="N49" i="4" s="1"/>
  <c r="D90" i="13"/>
  <c r="K65" i="4"/>
  <c r="L20" i="4"/>
  <c r="F2" i="5"/>
  <c r="V2" i="5"/>
  <c r="K68" i="4"/>
  <c r="L68" i="4" s="1"/>
  <c r="H2" i="5"/>
  <c r="M45" i="4"/>
  <c r="M27" i="4"/>
  <c r="N61" i="4"/>
  <c r="X61" i="4"/>
  <c r="O61" i="4"/>
  <c r="O60" i="4"/>
  <c r="N60" i="4"/>
  <c r="X60" i="4"/>
  <c r="N67" i="4"/>
  <c r="X67" i="4"/>
  <c r="O67" i="4"/>
  <c r="N66" i="4"/>
  <c r="X66" i="4"/>
  <c r="O66" i="4"/>
  <c r="O29" i="4"/>
  <c r="N29" i="4"/>
  <c r="X29" i="4"/>
  <c r="O42" i="4"/>
  <c r="N42" i="4"/>
  <c r="X42" i="4"/>
  <c r="O30" i="4"/>
  <c r="N30" i="4"/>
  <c r="X30" i="4"/>
  <c r="O48" i="4"/>
  <c r="N48" i="4"/>
  <c r="X48" i="4"/>
  <c r="O26" i="4"/>
  <c r="N26" i="4"/>
  <c r="X26" i="4"/>
  <c r="C34" i="21" s="1"/>
  <c r="G34" i="21" s="1"/>
  <c r="X29" i="21" s="1"/>
  <c r="O43" i="4"/>
  <c r="N43" i="4"/>
  <c r="X43" i="4"/>
  <c r="O13" i="4"/>
  <c r="N13" i="4"/>
  <c r="X13" i="4"/>
  <c r="O28" i="4"/>
  <c r="N28" i="4"/>
  <c r="X28" i="4"/>
  <c r="O47" i="4"/>
  <c r="N47" i="4"/>
  <c r="X47" i="4"/>
  <c r="N36" i="4"/>
  <c r="X36" i="4"/>
  <c r="O36" i="4"/>
  <c r="O63" i="4"/>
  <c r="X63" i="4"/>
  <c r="N63" i="4"/>
  <c r="N44" i="4"/>
  <c r="X44" i="4"/>
  <c r="O44" i="4"/>
  <c r="O62" i="4"/>
  <c r="N62" i="4"/>
  <c r="X62" i="4"/>
  <c r="O23" i="4"/>
  <c r="N23" i="4"/>
  <c r="X23" i="4"/>
  <c r="O25" i="4"/>
  <c r="N25" i="4"/>
  <c r="X25" i="4"/>
  <c r="C33" i="21" s="1"/>
  <c r="G33" i="21" s="1"/>
  <c r="R29" i="21" s="1"/>
  <c r="O24" i="4"/>
  <c r="N24" i="4"/>
  <c r="X24" i="4"/>
  <c r="D34" i="13"/>
  <c r="D35" i="13"/>
  <c r="X15" i="4"/>
  <c r="D36" i="13"/>
  <c r="D65" i="13"/>
  <c r="D37" i="13"/>
  <c r="D32" i="13"/>
  <c r="D33" i="13"/>
  <c r="K12" i="4"/>
  <c r="M14" i="4"/>
  <c r="O15" i="4"/>
  <c r="N15" i="4"/>
  <c r="O5" i="4"/>
  <c r="N5" i="4"/>
  <c r="M20" i="4"/>
  <c r="M19" i="4"/>
  <c r="Y19" i="4" s="1"/>
  <c r="D60" i="19" s="1"/>
  <c r="I90" i="19" s="1"/>
  <c r="X76" i="13" l="1"/>
  <c r="O73" i="4"/>
  <c r="O59" i="4"/>
  <c r="Y59" i="4"/>
  <c r="D85" i="13" s="1"/>
  <c r="N59" i="4"/>
  <c r="X59" i="4"/>
  <c r="C85" i="13" s="1"/>
  <c r="G85" i="13" s="1"/>
  <c r="P62" i="13" s="1"/>
  <c r="X73" i="4"/>
  <c r="C43" i="19" s="1"/>
  <c r="G43" i="19" s="1"/>
  <c r="X51" i="19" s="1"/>
  <c r="N73" i="4"/>
  <c r="X70" i="4"/>
  <c r="C42" i="19" s="1"/>
  <c r="G42" i="19" s="1"/>
  <c r="R51" i="19" s="1"/>
  <c r="N70" i="4"/>
  <c r="O70" i="4"/>
  <c r="D130" i="13"/>
  <c r="I122" i="13" s="1"/>
  <c r="D117" i="21"/>
  <c r="I119" i="21" s="1"/>
  <c r="C44" i="19"/>
  <c r="G44" i="19" s="1"/>
  <c r="C114" i="13"/>
  <c r="G114" i="13" s="1"/>
  <c r="X72" i="13" s="1"/>
  <c r="BD2" i="5"/>
  <c r="AQ2" i="20"/>
  <c r="Y17" i="4"/>
  <c r="N17" i="4"/>
  <c r="X17" i="4"/>
  <c r="O17" i="4"/>
  <c r="L18" i="4"/>
  <c r="Y2" i="17" s="1"/>
  <c r="M18" i="4"/>
  <c r="L16" i="4"/>
  <c r="W2" i="17" s="1"/>
  <c r="M16" i="4"/>
  <c r="H56" i="4"/>
  <c r="K56" i="4" s="1"/>
  <c r="L56" i="4" s="1"/>
  <c r="H55" i="4"/>
  <c r="K55" i="4" s="1"/>
  <c r="L55" i="4" s="1"/>
  <c r="H54" i="4"/>
  <c r="K54" i="4" s="1"/>
  <c r="L54" i="4" s="1"/>
  <c r="H53" i="4"/>
  <c r="K53" i="4" s="1"/>
  <c r="L53" i="4" s="1"/>
  <c r="H81" i="4"/>
  <c r="K81" i="4" s="1"/>
  <c r="L81" i="4" s="1"/>
  <c r="P2" i="17" s="1"/>
  <c r="D80" i="13"/>
  <c r="L80" i="4"/>
  <c r="O2" i="17" s="1"/>
  <c r="M80" i="4"/>
  <c r="H87" i="4"/>
  <c r="K87" i="4" s="1"/>
  <c r="L87" i="4" s="1"/>
  <c r="AO2" i="20" s="1"/>
  <c r="L35" i="4"/>
  <c r="K34" i="4"/>
  <c r="L34" i="4" s="1"/>
  <c r="AX2" i="5" s="1"/>
  <c r="H40" i="4"/>
  <c r="K40" i="4" s="1"/>
  <c r="L40" i="4" s="1"/>
  <c r="AZ2" i="5" s="1"/>
  <c r="W45" i="21"/>
  <c r="C84" i="21"/>
  <c r="M39" i="4"/>
  <c r="X39" i="4" s="1"/>
  <c r="X37" i="4"/>
  <c r="C43" i="13" s="1"/>
  <c r="G43" i="13" s="1"/>
  <c r="P36" i="13" s="1"/>
  <c r="N37" i="4"/>
  <c r="O37" i="4"/>
  <c r="D39" i="13"/>
  <c r="N31" i="4"/>
  <c r="M33" i="4"/>
  <c r="X33" i="4" s="1"/>
  <c r="D44" i="13"/>
  <c r="N38" i="4"/>
  <c r="X38" i="4"/>
  <c r="C44" i="13" s="1"/>
  <c r="G44" i="13" s="1"/>
  <c r="V36" i="13" s="1"/>
  <c r="O38" i="4"/>
  <c r="X31" i="4"/>
  <c r="C39" i="13" s="1"/>
  <c r="G39" i="13" s="1"/>
  <c r="P35" i="13" s="1"/>
  <c r="O31" i="4"/>
  <c r="L41" i="4"/>
  <c r="M41" i="4"/>
  <c r="X32" i="4"/>
  <c r="C40" i="13" s="1"/>
  <c r="G40" i="13" s="1"/>
  <c r="V35" i="13" s="1"/>
  <c r="O32" i="4"/>
  <c r="M35" i="4"/>
  <c r="N35" i="4" s="1"/>
  <c r="N32" i="4"/>
  <c r="L58" i="4"/>
  <c r="M58" i="4"/>
  <c r="N58" i="4" s="1"/>
  <c r="H76" i="4"/>
  <c r="K76" i="4" s="1"/>
  <c r="L51" i="4"/>
  <c r="O2" i="20" s="1"/>
  <c r="S77" i="4"/>
  <c r="V77" i="4" s="1"/>
  <c r="K77" i="4" s="1"/>
  <c r="I77" i="4"/>
  <c r="L75" i="4"/>
  <c r="M75" i="4"/>
  <c r="Y51" i="4"/>
  <c r="D48" i="21" s="1"/>
  <c r="Q37" i="21" s="1"/>
  <c r="H105" i="4"/>
  <c r="E106" i="4" s="1"/>
  <c r="H106" i="4" s="1"/>
  <c r="K106" i="4" s="1"/>
  <c r="H107" i="4"/>
  <c r="E108" i="4" s="1"/>
  <c r="H108" i="4" s="1"/>
  <c r="K108" i="4" s="1"/>
  <c r="L108" i="4" s="1"/>
  <c r="AL2" i="20" s="1"/>
  <c r="H103" i="4"/>
  <c r="E104" i="4" s="1"/>
  <c r="H104" i="4" s="1"/>
  <c r="K104" i="4" s="1"/>
  <c r="L104" i="4" s="1"/>
  <c r="AH2" i="20" s="1"/>
  <c r="B9" i="13"/>
  <c r="B125" i="13"/>
  <c r="D35" i="19"/>
  <c r="D32" i="21"/>
  <c r="C33" i="19"/>
  <c r="G33" i="19" s="1"/>
  <c r="X38" i="19" s="1"/>
  <c r="C32" i="21"/>
  <c r="C20" i="21"/>
  <c r="G20" i="21" s="1"/>
  <c r="I2" i="17"/>
  <c r="I2" i="20"/>
  <c r="S95" i="4"/>
  <c r="V95" i="4" s="1"/>
  <c r="K95" i="4" s="1"/>
  <c r="L95" i="4" s="1"/>
  <c r="AA2" i="20" s="1"/>
  <c r="K99" i="4"/>
  <c r="L99" i="4" s="1"/>
  <c r="AD2" i="20" s="1"/>
  <c r="K98" i="4"/>
  <c r="L98" i="4" s="1"/>
  <c r="AC2" i="20" s="1"/>
  <c r="K97" i="4"/>
  <c r="L97" i="4" s="1"/>
  <c r="AB2" i="20" s="1"/>
  <c r="K110" i="4"/>
  <c r="L110" i="4" s="1"/>
  <c r="AM2" i="20" s="1"/>
  <c r="K111" i="4"/>
  <c r="L111" i="4" s="1"/>
  <c r="AN2" i="20" s="1"/>
  <c r="K102" i="4"/>
  <c r="L102" i="4" s="1"/>
  <c r="AF2" i="20" s="1"/>
  <c r="K101" i="4"/>
  <c r="L101" i="4" s="1"/>
  <c r="AE2" i="20" s="1"/>
  <c r="N109" i="4"/>
  <c r="X109" i="4"/>
  <c r="C100" i="21" s="1"/>
  <c r="G100" i="21" s="1"/>
  <c r="X74" i="21" s="1"/>
  <c r="O109" i="4"/>
  <c r="D100" i="21"/>
  <c r="D91" i="21"/>
  <c r="N100" i="4"/>
  <c r="X100" i="4"/>
  <c r="C91" i="21" s="1"/>
  <c r="O100" i="4"/>
  <c r="X96" i="4"/>
  <c r="C72" i="21" s="1"/>
  <c r="G72" i="21" s="1"/>
  <c r="X66" i="21" s="1"/>
  <c r="O96" i="4"/>
  <c r="D72" i="21"/>
  <c r="N96" i="4"/>
  <c r="L93" i="4"/>
  <c r="Y2" i="20" s="1"/>
  <c r="M93" i="4"/>
  <c r="L94" i="4"/>
  <c r="Z2" i="20" s="1"/>
  <c r="M94" i="4"/>
  <c r="L92" i="4"/>
  <c r="X2" i="20" s="1"/>
  <c r="M92" i="4"/>
  <c r="M95" i="4"/>
  <c r="C34" i="19"/>
  <c r="G34" i="19" s="1"/>
  <c r="X30" i="19" s="1"/>
  <c r="L91" i="4"/>
  <c r="W2" i="20" s="1"/>
  <c r="M91" i="4"/>
  <c r="O90" i="4"/>
  <c r="N90" i="4"/>
  <c r="X90" i="4"/>
  <c r="D67" i="21"/>
  <c r="L89" i="4"/>
  <c r="U2" i="20" s="1"/>
  <c r="M89" i="4"/>
  <c r="N88" i="4"/>
  <c r="X88" i="4"/>
  <c r="O88" i="4"/>
  <c r="D65" i="21"/>
  <c r="L86" i="4"/>
  <c r="S2" i="20" s="1"/>
  <c r="M86" i="4"/>
  <c r="N85" i="4"/>
  <c r="X85" i="4"/>
  <c r="O85" i="4"/>
  <c r="D62" i="21"/>
  <c r="O84" i="4"/>
  <c r="N84" i="4"/>
  <c r="X84" i="4"/>
  <c r="C61" i="21" s="1"/>
  <c r="G61" i="21" s="1"/>
  <c r="L48" i="21" s="1"/>
  <c r="D61" i="21"/>
  <c r="C35" i="19"/>
  <c r="G35" i="19" s="1"/>
  <c r="C31" i="19"/>
  <c r="G31" i="19" s="1"/>
  <c r="C32" i="19"/>
  <c r="G32" i="19" s="1"/>
  <c r="X28" i="19" s="1"/>
  <c r="L83" i="4"/>
  <c r="M83" i="4"/>
  <c r="C42" i="13"/>
  <c r="G42" i="13" s="1"/>
  <c r="L36" i="13" s="1"/>
  <c r="C91" i="13"/>
  <c r="G91" i="13" s="1"/>
  <c r="X65" i="13" s="1"/>
  <c r="C86" i="13"/>
  <c r="G86" i="13" s="1"/>
  <c r="C87" i="13"/>
  <c r="G87" i="13" s="1"/>
  <c r="X62" i="13" s="1"/>
  <c r="C48" i="13"/>
  <c r="G48" i="13" s="1"/>
  <c r="V41" i="13" s="1"/>
  <c r="C51" i="13"/>
  <c r="G51" i="13" s="1"/>
  <c r="T43" i="13" s="1"/>
  <c r="C38" i="13"/>
  <c r="G38" i="13" s="1"/>
  <c r="C104" i="13"/>
  <c r="C52" i="13"/>
  <c r="G52" i="13" s="1"/>
  <c r="X43" i="13" s="1"/>
  <c r="C89" i="13"/>
  <c r="G89" i="13" s="1"/>
  <c r="L65" i="13" s="1"/>
  <c r="C46" i="13"/>
  <c r="G46" i="13" s="1"/>
  <c r="P41" i="13" s="1"/>
  <c r="C47" i="13"/>
  <c r="G47" i="13" s="1"/>
  <c r="T41" i="13" s="1"/>
  <c r="I2" i="5"/>
  <c r="X57" i="4"/>
  <c r="O57" i="4"/>
  <c r="N57" i="4"/>
  <c r="N71" i="4"/>
  <c r="X71" i="4"/>
  <c r="O71" i="4"/>
  <c r="N69" i="4"/>
  <c r="X64" i="4"/>
  <c r="O64" i="4"/>
  <c r="M68" i="4"/>
  <c r="Y68" i="4" s="1"/>
  <c r="O50" i="4"/>
  <c r="X46" i="4"/>
  <c r="N46" i="4"/>
  <c r="O46" i="4"/>
  <c r="X49" i="4"/>
  <c r="C46" i="21" s="1"/>
  <c r="X69" i="4"/>
  <c r="O69" i="4"/>
  <c r="O49" i="4"/>
  <c r="X50" i="4"/>
  <c r="C47" i="21" s="1"/>
  <c r="G47" i="21" s="1"/>
  <c r="X35" i="21" s="1"/>
  <c r="N50" i="4"/>
  <c r="D41" i="13"/>
  <c r="O45" i="4"/>
  <c r="D49" i="13"/>
  <c r="D45" i="13"/>
  <c r="O51" i="4"/>
  <c r="L12" i="4"/>
  <c r="M65" i="4"/>
  <c r="L65" i="4"/>
  <c r="AJ2" i="5" s="1"/>
  <c r="C88" i="13"/>
  <c r="G88" i="13" s="1"/>
  <c r="T65" i="13" s="1"/>
  <c r="N45" i="4"/>
  <c r="X45" i="4"/>
  <c r="O27" i="4"/>
  <c r="N27" i="4"/>
  <c r="X27" i="4"/>
  <c r="N51" i="4"/>
  <c r="X51" i="4"/>
  <c r="C48" i="21" s="1"/>
  <c r="G48" i="21" s="1"/>
  <c r="X36" i="21" s="1"/>
  <c r="I3" i="13"/>
  <c r="C33" i="13"/>
  <c r="G33" i="13" s="1"/>
  <c r="C32" i="13"/>
  <c r="G32" i="13" s="1"/>
  <c r="C37" i="13"/>
  <c r="G37" i="13" s="1"/>
  <c r="X34" i="13" s="1"/>
  <c r="C35" i="13"/>
  <c r="G35" i="13" s="1"/>
  <c r="C34" i="13"/>
  <c r="G34" i="13" s="1"/>
  <c r="L34" i="13" s="1"/>
  <c r="C36" i="13"/>
  <c r="G36" i="13" s="1"/>
  <c r="M12" i="4"/>
  <c r="X14" i="4"/>
  <c r="X20" i="4"/>
  <c r="X19" i="4"/>
  <c r="C60" i="19" s="1"/>
  <c r="G60" i="19" s="1"/>
  <c r="R89" i="19" s="1"/>
  <c r="D31" i="13"/>
  <c r="O14" i="4"/>
  <c r="N14" i="4"/>
  <c r="N20" i="4"/>
  <c r="O20" i="4"/>
  <c r="N19" i="4"/>
  <c r="O19" i="4"/>
  <c r="B51" i="21"/>
  <c r="B36" i="21"/>
  <c r="B53" i="21"/>
  <c r="B38" i="21"/>
  <c r="B52" i="21"/>
  <c r="B37" i="21"/>
  <c r="C109" i="13" l="1"/>
  <c r="G109" i="13" s="1"/>
  <c r="P85" i="13" s="1"/>
  <c r="C107" i="13"/>
  <c r="G107" i="13" s="1"/>
  <c r="L85" i="13" s="1"/>
  <c r="C118" i="21"/>
  <c r="G118" i="21" s="1"/>
  <c r="X118" i="21" s="1"/>
  <c r="C61" i="19"/>
  <c r="G61" i="19" s="1"/>
  <c r="X89" i="19" s="1"/>
  <c r="C115" i="21"/>
  <c r="G115" i="21" s="1"/>
  <c r="T116" i="21" s="1"/>
  <c r="C58" i="19"/>
  <c r="G58" i="19" s="1"/>
  <c r="T87" i="19" s="1"/>
  <c r="D115" i="21"/>
  <c r="D58" i="19"/>
  <c r="C130" i="13"/>
  <c r="G130" i="13" s="1"/>
  <c r="R121" i="13" s="1"/>
  <c r="C117" i="21"/>
  <c r="G117" i="21" s="1"/>
  <c r="R118" i="21" s="1"/>
  <c r="V18" i="13"/>
  <c r="T62" i="13"/>
  <c r="D45" i="19"/>
  <c r="M57" i="19" s="1"/>
  <c r="D128" i="13"/>
  <c r="G104" i="13"/>
  <c r="BE2" i="5"/>
  <c r="AR2" i="20"/>
  <c r="BC2" i="5"/>
  <c r="AP2" i="20"/>
  <c r="N16" i="4"/>
  <c r="X16" i="4"/>
  <c r="O16" i="4"/>
  <c r="Y16" i="4"/>
  <c r="D57" i="19" s="1"/>
  <c r="Y18" i="4"/>
  <c r="D59" i="19" s="1"/>
  <c r="N18" i="4"/>
  <c r="X18" i="4"/>
  <c r="C59" i="19" s="1"/>
  <c r="G59" i="19" s="1"/>
  <c r="X87" i="19" s="1"/>
  <c r="O18" i="4"/>
  <c r="AE2" i="5"/>
  <c r="T2" i="17"/>
  <c r="M56" i="4"/>
  <c r="AD2" i="5"/>
  <c r="S2" i="17"/>
  <c r="M55" i="4"/>
  <c r="AC2" i="5"/>
  <c r="R2" i="17"/>
  <c r="M54" i="4"/>
  <c r="AB2" i="5"/>
  <c r="Q2" i="17"/>
  <c r="M53" i="4"/>
  <c r="M81" i="4"/>
  <c r="O81" i="4" s="1"/>
  <c r="O39" i="4"/>
  <c r="O80" i="4"/>
  <c r="Y80" i="4"/>
  <c r="D36" i="19" s="1"/>
  <c r="N80" i="4"/>
  <c r="X80" i="4"/>
  <c r="C36" i="19" s="1"/>
  <c r="G36" i="19" s="1"/>
  <c r="X43" i="19" s="1"/>
  <c r="M87" i="4"/>
  <c r="M34" i="4"/>
  <c r="M40" i="4"/>
  <c r="B88" i="21"/>
  <c r="X45" i="21"/>
  <c r="N39" i="4"/>
  <c r="O33" i="4"/>
  <c r="N33" i="4"/>
  <c r="Y41" i="4"/>
  <c r="X41" i="4"/>
  <c r="O41" i="4"/>
  <c r="N41" i="4"/>
  <c r="Y35" i="4"/>
  <c r="O35" i="4"/>
  <c r="X35" i="4"/>
  <c r="D105" i="13"/>
  <c r="M83" i="13" s="1"/>
  <c r="O58" i="4"/>
  <c r="X58" i="4"/>
  <c r="Y58" i="4"/>
  <c r="L76" i="4"/>
  <c r="M76" i="4"/>
  <c r="N76" i="4" s="1"/>
  <c r="Z2" i="5"/>
  <c r="L77" i="4"/>
  <c r="AA2" i="5" s="1"/>
  <c r="M77" i="4"/>
  <c r="X77" i="4" s="1"/>
  <c r="D67" i="13"/>
  <c r="Q51" i="13" s="1"/>
  <c r="D111" i="13"/>
  <c r="N75" i="4"/>
  <c r="X75" i="4"/>
  <c r="O75" i="4"/>
  <c r="D112" i="13"/>
  <c r="M99" i="4"/>
  <c r="N99" i="4" s="1"/>
  <c r="K105" i="4"/>
  <c r="L105" i="4" s="1"/>
  <c r="AI2" i="20" s="1"/>
  <c r="L106" i="4"/>
  <c r="AJ2" i="20" s="1"/>
  <c r="M106" i="4"/>
  <c r="N106" i="4" s="1"/>
  <c r="M108" i="4"/>
  <c r="O108" i="4" s="1"/>
  <c r="K103" i="4"/>
  <c r="L103" i="4" s="1"/>
  <c r="AG2" i="20" s="1"/>
  <c r="M111" i="4"/>
  <c r="N111" i="4" s="1"/>
  <c r="M110" i="4"/>
  <c r="N110" i="4" s="1"/>
  <c r="K107" i="4"/>
  <c r="M101" i="4"/>
  <c r="D92" i="21" s="1"/>
  <c r="M98" i="4"/>
  <c r="X98" i="4" s="1"/>
  <c r="C74" i="21" s="1"/>
  <c r="G74" i="21" s="1"/>
  <c r="M97" i="4"/>
  <c r="N97" i="4" s="1"/>
  <c r="G91" i="21"/>
  <c r="X80" i="21" s="1"/>
  <c r="C62" i="21"/>
  <c r="G62" i="21" s="1"/>
  <c r="X51" i="21" s="1"/>
  <c r="C67" i="21"/>
  <c r="G67" i="21" s="1"/>
  <c r="X61" i="21" s="1"/>
  <c r="C65" i="21"/>
  <c r="G65" i="21" s="1"/>
  <c r="B54" i="21"/>
  <c r="B56" i="21" s="1"/>
  <c r="P19" i="21" s="1"/>
  <c r="B39" i="21"/>
  <c r="B40" i="21" s="1"/>
  <c r="G46" i="21"/>
  <c r="X34" i="21" s="1"/>
  <c r="G32" i="21"/>
  <c r="L29" i="21" s="1"/>
  <c r="E2" i="17"/>
  <c r="E2" i="20"/>
  <c r="M104" i="4"/>
  <c r="D95" i="21" s="1"/>
  <c r="M102" i="4"/>
  <c r="D93" i="21" s="1"/>
  <c r="O93" i="4"/>
  <c r="D70" i="21"/>
  <c r="N93" i="4"/>
  <c r="X93" i="4"/>
  <c r="C70" i="21" s="1"/>
  <c r="G70" i="21" s="1"/>
  <c r="T48" i="21" s="1"/>
  <c r="D101" i="21"/>
  <c r="D96" i="21"/>
  <c r="N94" i="4"/>
  <c r="X94" i="4"/>
  <c r="C71" i="21" s="1"/>
  <c r="G71" i="21" s="1"/>
  <c r="X48" i="21" s="1"/>
  <c r="O94" i="4"/>
  <c r="D71" i="21"/>
  <c r="D99" i="21"/>
  <c r="D98" i="21"/>
  <c r="D97" i="21"/>
  <c r="D102" i="21"/>
  <c r="N95" i="4"/>
  <c r="X95" i="4"/>
  <c r="O95" i="4"/>
  <c r="D75" i="21"/>
  <c r="O92" i="4"/>
  <c r="X92" i="4"/>
  <c r="D69" i="21"/>
  <c r="N92" i="4"/>
  <c r="N91" i="4"/>
  <c r="X91" i="4"/>
  <c r="O91" i="4"/>
  <c r="D68" i="21"/>
  <c r="N89" i="4"/>
  <c r="X89" i="4"/>
  <c r="O89" i="4"/>
  <c r="D66" i="21"/>
  <c r="N86" i="4"/>
  <c r="X86" i="4"/>
  <c r="C63" i="21" s="1"/>
  <c r="G63" i="21" s="1"/>
  <c r="X52" i="21" s="1"/>
  <c r="O86" i="4"/>
  <c r="D63" i="21"/>
  <c r="R28" i="19"/>
  <c r="L28" i="19"/>
  <c r="N83" i="4"/>
  <c r="X83" i="4"/>
  <c r="O83" i="4"/>
  <c r="C106" i="13"/>
  <c r="G106" i="13" s="1"/>
  <c r="C90" i="13"/>
  <c r="G90" i="13" s="1"/>
  <c r="P65" i="13" s="1"/>
  <c r="C84" i="13"/>
  <c r="C65" i="13"/>
  <c r="G65" i="13" s="1"/>
  <c r="X48" i="13" s="1"/>
  <c r="C41" i="13"/>
  <c r="G41" i="13" s="1"/>
  <c r="X35" i="13" s="1"/>
  <c r="C50" i="13"/>
  <c r="G50" i="13" s="1"/>
  <c r="P43" i="13" s="1"/>
  <c r="C66" i="13"/>
  <c r="G66" i="13" s="1"/>
  <c r="X49" i="13" s="1"/>
  <c r="C67" i="13"/>
  <c r="G67" i="13" s="1"/>
  <c r="X50" i="13" s="1"/>
  <c r="C49" i="13"/>
  <c r="G49" i="13" s="1"/>
  <c r="X41" i="13" s="1"/>
  <c r="C45" i="13"/>
  <c r="G45" i="13" s="1"/>
  <c r="X36" i="13" s="1"/>
  <c r="E2" i="5"/>
  <c r="N68" i="4"/>
  <c r="X68" i="4"/>
  <c r="O68" i="4"/>
  <c r="L35" i="13"/>
  <c r="P34" i="13"/>
  <c r="V34" i="13"/>
  <c r="X29" i="13"/>
  <c r="O12" i="4"/>
  <c r="D19" i="13"/>
  <c r="X65" i="4"/>
  <c r="O65" i="4"/>
  <c r="N65" i="4"/>
  <c r="C31" i="13"/>
  <c r="G31" i="13" s="1"/>
  <c r="N12" i="4"/>
  <c r="X12" i="4"/>
  <c r="C114" i="21" l="1"/>
  <c r="C57" i="19"/>
  <c r="D127" i="13"/>
  <c r="D114" i="21"/>
  <c r="D129" i="13"/>
  <c r="D116" i="21"/>
  <c r="C127" i="13"/>
  <c r="G127" i="13" s="1"/>
  <c r="N119" i="13" s="1"/>
  <c r="C129" i="13"/>
  <c r="G129" i="13" s="1"/>
  <c r="X119" i="13" s="1"/>
  <c r="C116" i="21"/>
  <c r="G116" i="21" s="1"/>
  <c r="X116" i="21" s="1"/>
  <c r="C45" i="19"/>
  <c r="G45" i="19" s="1"/>
  <c r="T56" i="19" s="1"/>
  <c r="C128" i="13"/>
  <c r="G128" i="13" s="1"/>
  <c r="T119" i="13" s="1"/>
  <c r="C111" i="13"/>
  <c r="G111" i="13" s="1"/>
  <c r="T72" i="13" s="1"/>
  <c r="D83" i="13"/>
  <c r="O56" i="4"/>
  <c r="N56" i="4"/>
  <c r="X56" i="4"/>
  <c r="C83" i="13" s="1"/>
  <c r="G83" i="13" s="1"/>
  <c r="X60" i="13" s="1"/>
  <c r="D82" i="13"/>
  <c r="N55" i="4"/>
  <c r="O55" i="4"/>
  <c r="X55" i="4"/>
  <c r="D81" i="13"/>
  <c r="X54" i="4"/>
  <c r="O54" i="4"/>
  <c r="N54" i="4"/>
  <c r="O53" i="4"/>
  <c r="N53" i="4"/>
  <c r="X53" i="4"/>
  <c r="X81" i="4"/>
  <c r="N81" i="4"/>
  <c r="Y81" i="4"/>
  <c r="X50" i="21"/>
  <c r="O87" i="4"/>
  <c r="D64" i="21"/>
  <c r="X87" i="4"/>
  <c r="C64" i="21" s="1"/>
  <c r="G64" i="21" s="1"/>
  <c r="X54" i="21" s="1"/>
  <c r="N87" i="4"/>
  <c r="X34" i="4"/>
  <c r="N34" i="4"/>
  <c r="O34" i="4"/>
  <c r="X40" i="4"/>
  <c r="O40" i="4"/>
  <c r="N40" i="4"/>
  <c r="B89" i="21"/>
  <c r="V17" i="21" s="1"/>
  <c r="B9" i="21"/>
  <c r="B10" i="21" s="1"/>
  <c r="O76" i="4"/>
  <c r="X76" i="4"/>
  <c r="N77" i="4"/>
  <c r="C113" i="13"/>
  <c r="G113" i="13" s="1"/>
  <c r="O77" i="4"/>
  <c r="X99" i="4"/>
  <c r="C75" i="21" s="1"/>
  <c r="O99" i="4"/>
  <c r="M103" i="4"/>
  <c r="N103" i="4" s="1"/>
  <c r="O106" i="4"/>
  <c r="M105" i="4"/>
  <c r="X106" i="4"/>
  <c r="C97" i="21" s="1"/>
  <c r="G97" i="21" s="1"/>
  <c r="X85" i="21" s="1"/>
  <c r="N108" i="4"/>
  <c r="X108" i="4"/>
  <c r="C99" i="21" s="1"/>
  <c r="G99" i="21" s="1"/>
  <c r="X86" i="21" s="1"/>
  <c r="X111" i="4"/>
  <c r="C102" i="21" s="1"/>
  <c r="G102" i="21" s="1"/>
  <c r="X76" i="21" s="1"/>
  <c r="L107" i="4"/>
  <c r="AK2" i="20" s="1"/>
  <c r="M107" i="4"/>
  <c r="O111" i="4"/>
  <c r="X110" i="4"/>
  <c r="C101" i="21" s="1"/>
  <c r="G101" i="21" s="1"/>
  <c r="T76" i="21" s="1"/>
  <c r="O110" i="4"/>
  <c r="X101" i="4"/>
  <c r="C92" i="21" s="1"/>
  <c r="G92" i="21" s="1"/>
  <c r="T83" i="21" s="1"/>
  <c r="N101" i="4"/>
  <c r="O101" i="4"/>
  <c r="R69" i="21"/>
  <c r="D74" i="21"/>
  <c r="N98" i="4"/>
  <c r="O98" i="4"/>
  <c r="X97" i="4"/>
  <c r="C73" i="21" s="1"/>
  <c r="D73" i="21"/>
  <c r="O97" i="4"/>
  <c r="C69" i="21"/>
  <c r="G69" i="21" s="1"/>
  <c r="R48" i="21" s="1"/>
  <c r="C68" i="21"/>
  <c r="G68" i="21" s="1"/>
  <c r="P48" i="21" s="1"/>
  <c r="C66" i="21"/>
  <c r="B55" i="21"/>
  <c r="O19" i="21" s="1"/>
  <c r="B41" i="21"/>
  <c r="P18" i="21" s="1"/>
  <c r="X26" i="21"/>
  <c r="O18" i="21"/>
  <c r="C19" i="19"/>
  <c r="G19" i="19" s="1"/>
  <c r="X23" i="19" s="1"/>
  <c r="C19" i="21"/>
  <c r="O102" i="4"/>
  <c r="X102" i="4"/>
  <c r="C93" i="21" s="1"/>
  <c r="O104" i="4"/>
  <c r="X104" i="4"/>
  <c r="C95" i="21" s="1"/>
  <c r="G95" i="21" s="1"/>
  <c r="X84" i="21" s="1"/>
  <c r="N104" i="4"/>
  <c r="N102" i="4"/>
  <c r="D94" i="21"/>
  <c r="C105" i="13"/>
  <c r="G84" i="13"/>
  <c r="L62" i="13" s="1"/>
  <c r="C19" i="13"/>
  <c r="B23" i="21"/>
  <c r="B56" i="13"/>
  <c r="B71" i="13"/>
  <c r="B70" i="13"/>
  <c r="B120" i="21"/>
  <c r="B72" i="13"/>
  <c r="B64" i="19"/>
  <c r="B24" i="21"/>
  <c r="B55" i="13"/>
  <c r="B23" i="13"/>
  <c r="B22" i="21"/>
  <c r="B121" i="21"/>
  <c r="B63" i="19"/>
  <c r="B122" i="21"/>
  <c r="B23" i="19"/>
  <c r="B78" i="21"/>
  <c r="B77" i="21"/>
  <c r="B22" i="13"/>
  <c r="B21" i="19"/>
  <c r="B22" i="19"/>
  <c r="B21" i="13"/>
  <c r="B65" i="19"/>
  <c r="B54" i="13"/>
  <c r="B79" i="21"/>
  <c r="B66" i="19" l="1"/>
  <c r="B68" i="19" s="1"/>
  <c r="X17" i="19" s="1"/>
  <c r="G57" i="19"/>
  <c r="N87" i="19" s="1"/>
  <c r="B123" i="21"/>
  <c r="B124" i="21" s="1"/>
  <c r="G114" i="21"/>
  <c r="N116" i="21" s="1"/>
  <c r="G105" i="13"/>
  <c r="T82" i="13" s="1"/>
  <c r="C112" i="13"/>
  <c r="G112" i="13" s="1"/>
  <c r="T74" i="13" s="1"/>
  <c r="C82" i="13"/>
  <c r="G82" i="13" s="1"/>
  <c r="V60" i="13" s="1"/>
  <c r="C39" i="19"/>
  <c r="G39" i="19" s="1"/>
  <c r="V48" i="19" s="1"/>
  <c r="C38" i="19"/>
  <c r="G38" i="19" s="1"/>
  <c r="T48" i="19" s="1"/>
  <c r="C81" i="13"/>
  <c r="G81" i="13" s="1"/>
  <c r="T60" i="13" s="1"/>
  <c r="C80" i="13"/>
  <c r="C37" i="19"/>
  <c r="G37" i="19" s="1"/>
  <c r="P48" i="19" s="1"/>
  <c r="D40" i="19"/>
  <c r="D41" i="19"/>
  <c r="C40" i="19"/>
  <c r="G40" i="19" s="1"/>
  <c r="X48" i="19" s="1"/>
  <c r="C41" i="19"/>
  <c r="G41" i="19" s="1"/>
  <c r="L51" i="19" s="1"/>
  <c r="B57" i="13"/>
  <c r="B58" i="13" s="1"/>
  <c r="O18" i="13" s="1"/>
  <c r="B12" i="21"/>
  <c r="I6" i="21" s="1"/>
  <c r="B11" i="21"/>
  <c r="H6" i="21" s="1"/>
  <c r="B73" i="13"/>
  <c r="B74" i="13" s="1"/>
  <c r="X45" i="13" s="1"/>
  <c r="X103" i="4"/>
  <c r="C94" i="21" s="1"/>
  <c r="G94" i="21" s="1"/>
  <c r="T84" i="21" s="1"/>
  <c r="O103" i="4"/>
  <c r="N105" i="4"/>
  <c r="X105" i="4"/>
  <c r="C96" i="21" s="1"/>
  <c r="G96" i="21" s="1"/>
  <c r="T85" i="21" s="1"/>
  <c r="O105" i="4"/>
  <c r="N107" i="4"/>
  <c r="X107" i="4"/>
  <c r="C98" i="21" s="1"/>
  <c r="O107" i="4"/>
  <c r="G93" i="21"/>
  <c r="X83" i="21" s="1"/>
  <c r="G73" i="21"/>
  <c r="L69" i="21" s="1"/>
  <c r="G75" i="21"/>
  <c r="B80" i="21"/>
  <c r="B82" i="21" s="1"/>
  <c r="X17" i="21" s="1"/>
  <c r="G66" i="21"/>
  <c r="X62" i="21" s="1"/>
  <c r="X31" i="21"/>
  <c r="B25" i="21"/>
  <c r="B27" i="21" s="1"/>
  <c r="P17" i="21" s="1"/>
  <c r="B24" i="19"/>
  <c r="B25" i="19" s="1"/>
  <c r="O17" i="19" s="1"/>
  <c r="G19" i="21"/>
  <c r="X24" i="21" s="1"/>
  <c r="B24" i="13"/>
  <c r="B25" i="13" s="1"/>
  <c r="G19" i="13"/>
  <c r="X24" i="13" s="1"/>
  <c r="B105" i="21"/>
  <c r="B93" i="13"/>
  <c r="B95" i="13"/>
  <c r="B94" i="13"/>
  <c r="B48" i="19"/>
  <c r="B49" i="19"/>
  <c r="B47" i="19"/>
  <c r="B67" i="19" l="1"/>
  <c r="X88" i="21"/>
  <c r="W19" i="21"/>
  <c r="B125" i="21"/>
  <c r="X19" i="21" s="1"/>
  <c r="B96" i="13"/>
  <c r="B97" i="13" s="1"/>
  <c r="G80" i="13"/>
  <c r="P60" i="13" s="1"/>
  <c r="B50" i="19"/>
  <c r="B51" i="19" s="1"/>
  <c r="O18" i="19" s="1"/>
  <c r="B59" i="13"/>
  <c r="P18" i="13" s="1"/>
  <c r="X26" i="13"/>
  <c r="B75" i="13"/>
  <c r="P19" i="13" s="1"/>
  <c r="O19" i="13"/>
  <c r="G98" i="21"/>
  <c r="T86" i="21" s="1"/>
  <c r="X69" i="21"/>
  <c r="B81" i="21"/>
  <c r="W17" i="21" s="1"/>
  <c r="X20" i="19"/>
  <c r="B26" i="19"/>
  <c r="P17" i="19" s="1"/>
  <c r="B26" i="21"/>
  <c r="B26" i="13"/>
  <c r="P17" i="13" s="1"/>
  <c r="O17" i="13"/>
  <c r="V4" i="4"/>
  <c r="K4" i="4" s="1"/>
  <c r="V5" i="4"/>
  <c r="K5" i="4" s="1"/>
  <c r="V6" i="4"/>
  <c r="K6" i="4" s="1"/>
  <c r="V7" i="4"/>
  <c r="K7" i="4" s="1"/>
  <c r="X59" i="19" l="1"/>
  <c r="W17" i="19"/>
  <c r="B98" i="13"/>
  <c r="X17" i="13" s="1"/>
  <c r="W17" i="13"/>
  <c r="X56" i="13"/>
  <c r="X25" i="19"/>
  <c r="B52" i="19"/>
  <c r="P18" i="19" s="1"/>
  <c r="X42" i="21"/>
  <c r="X21" i="21"/>
  <c r="O17" i="21"/>
  <c r="X21" i="13"/>
  <c r="B10" i="13" l="1"/>
  <c r="B12" i="13" s="1"/>
  <c r="I6" i="13" l="1"/>
  <c r="B11" i="13"/>
  <c r="H6" i="13" s="1"/>
  <c r="D108" i="13"/>
  <c r="D110" i="13"/>
  <c r="S72" i="4"/>
  <c r="V72" i="4" s="1"/>
  <c r="K72" i="4" s="1"/>
  <c r="S74" i="4" l="1"/>
  <c r="V74" i="4" s="1"/>
  <c r="K74" i="4" s="1"/>
  <c r="B110" i="13"/>
  <c r="U85" i="13" s="1"/>
  <c r="I74" i="4"/>
  <c r="B108" i="13"/>
  <c r="Q85" i="13" s="1"/>
  <c r="I72" i="4"/>
  <c r="L72" i="4" s="1"/>
  <c r="AO2" i="5" s="1"/>
  <c r="M74" i="4" l="1"/>
  <c r="N74" i="4" s="1"/>
  <c r="I3" i="4"/>
  <c r="S3" i="4"/>
  <c r="V3" i="4" s="1"/>
  <c r="K3" i="4" s="1"/>
  <c r="L74" i="4"/>
  <c r="AP2" i="5" s="1"/>
  <c r="M72" i="4"/>
  <c r="G6" i="4" l="1"/>
  <c r="O74" i="4"/>
  <c r="X74" i="4"/>
  <c r="L3" i="4"/>
  <c r="X72" i="4"/>
  <c r="C131" i="13" s="1"/>
  <c r="G131" i="13" s="1"/>
  <c r="X121" i="13" s="1"/>
  <c r="O72" i="4"/>
  <c r="N72" i="4"/>
  <c r="B104" i="21"/>
  <c r="B106" i="21"/>
  <c r="B107" i="21" l="1"/>
  <c r="B109" i="21" s="1"/>
  <c r="X18" i="21" s="1"/>
  <c r="S6" i="4"/>
  <c r="I6" i="4"/>
  <c r="L6" i="4" s="1"/>
  <c r="B2" i="17"/>
  <c r="B2" i="20"/>
  <c r="C108" i="13"/>
  <c r="C110" i="13"/>
  <c r="G110" i="13" s="1"/>
  <c r="X85" i="13" s="1"/>
  <c r="B2" i="5"/>
  <c r="B2" i="18"/>
  <c r="G4" i="4"/>
  <c r="I4" i="4" s="1"/>
  <c r="L4" i="4" s="1"/>
  <c r="G5" i="4"/>
  <c r="I5" i="4" s="1"/>
  <c r="L5" i="4" s="1"/>
  <c r="B133" i="13"/>
  <c r="B135" i="13"/>
  <c r="B118" i="13"/>
  <c r="B116" i="13"/>
  <c r="B117" i="13"/>
  <c r="B134" i="13"/>
  <c r="B136" i="13" l="1"/>
  <c r="B138" i="13" s="1"/>
  <c r="X19" i="13" s="1"/>
  <c r="G108" i="13"/>
  <c r="T85" i="13" s="1"/>
  <c r="B108" i="21"/>
  <c r="B119" i="13"/>
  <c r="B121" i="13" s="1"/>
  <c r="X18" i="13" s="1"/>
  <c r="S4" i="4"/>
  <c r="G7" i="4"/>
  <c r="I7" i="4" s="1"/>
  <c r="L7" i="4" s="1"/>
  <c r="S3" i="21" s="1"/>
  <c r="S5" i="4"/>
  <c r="B137" i="13" l="1"/>
  <c r="W18" i="21"/>
  <c r="X71" i="21"/>
  <c r="S3" i="13"/>
  <c r="S3" i="19"/>
  <c r="B120" i="13"/>
  <c r="G9" i="4"/>
  <c r="T3" i="21" s="1"/>
  <c r="S7" i="4"/>
  <c r="X91" i="13" l="1"/>
  <c r="W19" i="13"/>
  <c r="W18" i="13"/>
  <c r="X67" i="13"/>
  <c r="T3" i="13"/>
  <c r="T3" i="19"/>
  <c r="S9" i="4"/>
  <c r="I9" i="4"/>
  <c r="L9" i="4" s="1"/>
  <c r="D2" i="17" l="1"/>
  <c r="D2" i="20"/>
  <c r="D2" i="5"/>
  <c r="D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tc={A2873742-DBC3-4BCF-935F-3E1966EC1720}</author>
  </authors>
  <commentList>
    <comment ref="D203" authorId="0" shapeId="0" xr:uid="{A2873742-DBC3-4BCF-935F-3E1966EC1720}">
      <text>
        <t>[Threaded comment]
Your version of Excel allows you to read this threaded comment; however, any edits to it will get removed if the file is opened in a newer version of Excel. Learn more: https://go.microsoft.com/fwlink/?linkid=870924
Comment:
    COPY &amp; PASTE for HUD income limits must be done ONE COLUMN AT A TIME
Please always use Paste 'Values Only' when pasting income limit data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Jeff LeSauvage</author>
  </authors>
  <commentList>
    <comment ref="W1" authorId="0" shapeId="0" xr:uid="{00000000-0006-0000-0600-000001000000}">
      <text>
        <r>
          <rPr>
            <b/>
            <sz val="9"/>
            <color indexed="81"/>
            <rFont val="Tahoma"/>
            <family val="2"/>
          </rPr>
          <t>Tip:</t>
        </r>
        <r>
          <rPr>
            <sz val="9"/>
            <color indexed="81"/>
            <rFont val="Tahoma"/>
            <family val="2"/>
          </rPr>
          <t xml:space="preserve"> Most fields are flagged as '1' so that all status codes are utilized in %age complete calc.  However, some are ignored (such as </t>
        </r>
        <r>
          <rPr>
            <sz val="9"/>
            <color indexed="81"/>
            <rFont val="Tahoma"/>
            <family val="2"/>
          </rPr>
          <t xml:space="preserve">
PROJ_ID and APP_COMPLETE_FLAG since they are behind-the-scenes calcualtions that don't impact the progress of the app and thus we don't want any status indicators to be utilized in the %age complete. Others, such as Unit Group Totals are marked as '2', which means if an error exists (units exceed total ahp units, which is a stopping error), that error code of zero (0) will flow through and thus never allow the user to hit 100% complete (until the errors are cleared up)</t>
        </r>
      </text>
    </comment>
    <comment ref="G10" authorId="0" shapeId="0" xr:uid="{00000000-0006-0000-0600-000002000000}">
      <text>
        <r>
          <rPr>
            <b/>
            <sz val="9"/>
            <color indexed="81"/>
            <rFont val="Tahoma"/>
            <family val="2"/>
          </rPr>
          <t>Author:</t>
        </r>
        <r>
          <rPr>
            <sz val="9"/>
            <color indexed="81"/>
            <rFont val="Tahoma"/>
            <family val="2"/>
          </rPr>
          <t xml:space="preserve">
Since bank can change items (such as AMI) via the config tab without dev intervention, they need to be abel to increment the version # of the eForm so that the PMT can recognize dated versions of hte form(s).  We handle this by allowing Bank to update minor revision #s, with major &amp; sub-major controlled via hidden/read-only config to be updated by developer on major changes.
</t>
        </r>
      </text>
    </comment>
    <comment ref="G21" authorId="1" shapeId="0" xr:uid="{D17FA695-D106-4C45-B489-6F2444CCAEC6}">
      <text>
        <r>
          <rPr>
            <b/>
            <sz val="9"/>
            <color indexed="81"/>
            <rFont val="Tahoma"/>
            <family val="2"/>
          </rPr>
          <t>Jeff LeSauvage:</t>
        </r>
        <r>
          <rPr>
            <sz val="9"/>
            <color indexed="81"/>
            <rFont val="Tahoma"/>
            <family val="2"/>
          </rPr>
          <t xml:space="preserve">
DEFAULT TO 'FALSE' SO THAT VALUE OF 'N' IS REPRESENTED ON EXPORT. THIS IS TO ENSRUE PROPER IMPORT AFTER THIS FIELD REMOVED FROM EFORM (SINCE IT'S MAPPED TO A REQUIRED FIELD IN THE PMT)</t>
        </r>
      </text>
    </comment>
  </commentList>
</comments>
</file>

<file path=xl/sharedStrings.xml><?xml version="1.0" encoding="utf-8"?>
<sst xmlns="http://schemas.openxmlformats.org/spreadsheetml/2006/main" count="9201" uniqueCount="2973">
  <si>
    <t>FIELD_ID</t>
  </si>
  <si>
    <t>FIELD_DESC</t>
  </si>
  <si>
    <t>FIELD_VALUE_RAW</t>
  </si>
  <si>
    <t>FIELD_VALUE_CLEAN</t>
  </si>
  <si>
    <t>FIELD_REQ_FLAG</t>
  </si>
  <si>
    <t>CONFIG_VAR</t>
  </si>
  <si>
    <t>CONFIG_DESC</t>
  </si>
  <si>
    <t>CONFIG_TYPE</t>
  </si>
  <si>
    <t>CONFIG_VALUE</t>
  </si>
  <si>
    <t>Text</t>
  </si>
  <si>
    <t>MAP:{$DB.EXPORT}</t>
  </si>
  <si>
    <t>a</t>
  </si>
  <si>
    <t>r</t>
  </si>
  <si>
    <t>Webdings</t>
  </si>
  <si>
    <t>FIELD_STATUS_CODE</t>
  </si>
  <si>
    <t>FIELD_STATUS_DISPLAY</t>
  </si>
  <si>
    <t>FIELD_STATUS_ICON</t>
  </si>
  <si>
    <t>Not Required, Empty</t>
  </si>
  <si>
    <t>Invalid</t>
  </si>
  <si>
    <t>Required, Empty</t>
  </si>
  <si>
    <t>Valid</t>
  </si>
  <si>
    <t>FIELD_STATUS_DESCRIPTION</t>
  </si>
  <si>
    <t>i</t>
  </si>
  <si>
    <t>FIELD_STATUS_ICON_FONT</t>
  </si>
  <si>
    <t>FIELD_STATUS_COMMENT</t>
  </si>
  <si>
    <t>Required</t>
  </si>
  <si>
    <t>Invalid Value</t>
  </si>
  <si>
    <t>OK</t>
  </si>
  <si>
    <t>Optional</t>
  </si>
  <si>
    <t>FIELD_EMPTY_FLAG</t>
  </si>
  <si>
    <t>FIELD_VALID_FLAG</t>
  </si>
  <si>
    <t>Date</t>
  </si>
  <si>
    <t>PAGE_BANNER_TITLE</t>
  </si>
  <si>
    <t>LOOKUP_CODE</t>
  </si>
  <si>
    <t>LOOKUP_VALUE</t>
  </si>
  <si>
    <t>SHEET_REF_CALC</t>
  </si>
  <si>
    <t>WELCOME</t>
  </si>
  <si>
    <t>APPSTART_BUTTON_TEXT</t>
  </si>
  <si>
    <t>APPSTART_BUTTON_DEST</t>
  </si>
  <si>
    <t>Number</t>
  </si>
  <si>
    <t>FIELD_TYPE</t>
  </si>
  <si>
    <t>$DB.CONFIG.TBL_CONFIG_FIELDSTATUSCODES::[F|J]</t>
  </si>
  <si>
    <t>TRIM_TEXT_FLAG</t>
  </si>
  <si>
    <t>RANGE_VALUE_LEN</t>
  </si>
  <si>
    <t>RANGE_VALIDATION_ON_FLAG</t>
  </si>
  <si>
    <t>RANGE_VALIDATION_MIN</t>
  </si>
  <si>
    <t>RANGE_VALIDATION_MAX</t>
  </si>
  <si>
    <t>RANGE_VALIDATION_PASSED_FLAG</t>
  </si>
  <si>
    <t>FIELD_VALID_CUSTOM_LOGIC</t>
  </si>
  <si>
    <t>Custom Logic - Field Specific</t>
  </si>
  <si>
    <t>Custom Logic + Validation</t>
  </si>
  <si>
    <t>City</t>
  </si>
  <si>
    <t>State</t>
  </si>
  <si>
    <t>Zip Code</t>
  </si>
  <si>
    <t xml:space="preserve"> </t>
  </si>
  <si>
    <t>NY</t>
  </si>
  <si>
    <t>CT</t>
  </si>
  <si>
    <t>WY</t>
  </si>
  <si>
    <t>WI</t>
  </si>
  <si>
    <t>WV</t>
  </si>
  <si>
    <t>WA</t>
  </si>
  <si>
    <t>VA</t>
  </si>
  <si>
    <t>VT</t>
  </si>
  <si>
    <t>UT</t>
  </si>
  <si>
    <t>TX</t>
  </si>
  <si>
    <t>TN</t>
  </si>
  <si>
    <t>SD</t>
  </si>
  <si>
    <t>SC</t>
  </si>
  <si>
    <t>RI</t>
  </si>
  <si>
    <t>PR</t>
  </si>
  <si>
    <t>PA</t>
  </si>
  <si>
    <t>OR</t>
  </si>
  <si>
    <t>OH</t>
  </si>
  <si>
    <t>ND</t>
  </si>
  <si>
    <t>NC</t>
  </si>
  <si>
    <t>NM</t>
  </si>
  <si>
    <t>NJ</t>
  </si>
  <si>
    <t>NH</t>
  </si>
  <si>
    <t>NV</t>
  </si>
  <si>
    <t>NE</t>
  </si>
  <si>
    <t>MT</t>
  </si>
  <si>
    <t>MO</t>
  </si>
  <si>
    <t>MS</t>
  </si>
  <si>
    <t>MN</t>
  </si>
  <si>
    <t>MI</t>
  </si>
  <si>
    <t>MA</t>
  </si>
  <si>
    <t>MD</t>
  </si>
  <si>
    <t>ME</t>
  </si>
  <si>
    <t>LA</t>
  </si>
  <si>
    <t>KY</t>
  </si>
  <si>
    <t>KS</t>
  </si>
  <si>
    <t>IA</t>
  </si>
  <si>
    <t>IN</t>
  </si>
  <si>
    <t>IL</t>
  </si>
  <si>
    <t>ID</t>
  </si>
  <si>
    <t>HI</t>
  </si>
  <si>
    <t>GA</t>
  </si>
  <si>
    <t>FL</t>
  </si>
  <si>
    <t>DE</t>
  </si>
  <si>
    <t>CO</t>
  </si>
  <si>
    <t>CA</t>
  </si>
  <si>
    <t>AR</t>
  </si>
  <si>
    <t>AZ</t>
  </si>
  <si>
    <t>AK</t>
  </si>
  <si>
    <t>AL</t>
  </si>
  <si>
    <t>STATE_CODE</t>
  </si>
  <si>
    <t>$DB.LOOKUP.RANGE_LOOKUP_STATE::[D|D]</t>
  </si>
  <si>
    <t>County</t>
  </si>
  <si>
    <t>MSA</t>
  </si>
  <si>
    <t>.</t>
  </si>
  <si>
    <t>RANGE_VALIDATION_FLAG</t>
  </si>
  <si>
    <t>APP_PROGRESS_DONE_COUNT</t>
  </si>
  <si>
    <t>APP_PROGRESS_TOTAL_COUNT</t>
  </si>
  <si>
    <t>APP_PROGRESS_ERROR_COUNT</t>
  </si>
  <si>
    <t>SECTION_1_DONE_COUNT</t>
  </si>
  <si>
    <t>SECTION_1_TOTAL_COUNT</t>
  </si>
  <si>
    <t>SECTION_1_ERROR_COUNT</t>
  </si>
  <si>
    <t>SECTION_1_PROGRESS_PERCENT</t>
  </si>
  <si>
    <t>SECTION_1_STATUS_TEXT</t>
  </si>
  <si>
    <t>SECTION_1_STATUS_CODE</t>
  </si>
  <si>
    <t>SECTION_1_RANGE</t>
  </si>
  <si>
    <t>SECTION_1</t>
  </si>
  <si>
    <t>SECTION_1_TOC_LABEL</t>
  </si>
  <si>
    <t>SECTION_2</t>
  </si>
  <si>
    <t>SECTION_2_RANGE</t>
  </si>
  <si>
    <t>SECTION_2_DONE_COUNT</t>
  </si>
  <si>
    <t>SECTION_2_TOTAL_COUNT</t>
  </si>
  <si>
    <t>SECTION_2_ERROR_COUNT</t>
  </si>
  <si>
    <t>SECTION_2_PROGRESS_PERCENT</t>
  </si>
  <si>
    <t>SECTION_2_STATUS_TEXT</t>
  </si>
  <si>
    <t>SECTION_2_STATUS_CODE</t>
  </si>
  <si>
    <t>SECTION_2_TOC_LABEL</t>
  </si>
  <si>
    <t>Member Name</t>
  </si>
  <si>
    <t>May Be Calculated Value</t>
  </si>
  <si>
    <t>$DB.CONFIG.TBL_CONFIG_APP::[A|D]</t>
  </si>
  <si>
    <t>Email Address</t>
  </si>
  <si>
    <t>FIELD_EXPORT_FLAG</t>
  </si>
  <si>
    <t>EFORM_REVISION_DATE</t>
  </si>
  <si>
    <t>Last eForm Revision Date</t>
  </si>
  <si>
    <t>APP_PROGRESS_PCT_COMPLETE</t>
  </si>
  <si>
    <t>Y/N</t>
  </si>
  <si>
    <t>N/A</t>
  </si>
  <si>
    <t>DEVELOPER_COMMENTS</t>
  </si>
  <si>
    <t>VI</t>
  </si>
  <si>
    <t>SECTION_3</t>
  </si>
  <si>
    <t>SECTION_3_RANGE</t>
  </si>
  <si>
    <t>SECTION_3_DONE_COUNT</t>
  </si>
  <si>
    <t>SECTION_3_TOTAL_COUNT</t>
  </si>
  <si>
    <t>SECTION_3_ERROR_COUNT</t>
  </si>
  <si>
    <t>SECTION_3_PROGRESS_PERCENT</t>
  </si>
  <si>
    <t>SECTION_3_STATUS_TEXT</t>
  </si>
  <si>
    <t>SECTION_3_STATUS_CODE</t>
  </si>
  <si>
    <t>SECTION_3_TOC_LABEL</t>
  </si>
  <si>
    <t>PCT_CALC_FIELD_STATUS_CODE</t>
  </si>
  <si>
    <t>PCT_CALC_SHOW_STATUS_CODE</t>
  </si>
  <si>
    <t>SECTION_4</t>
  </si>
  <si>
    <t>SECTION_4_RANGE</t>
  </si>
  <si>
    <t>SECTION_4_DONE_COUNT</t>
  </si>
  <si>
    <t>SECTION_4_TOTAL_COUNT</t>
  </si>
  <si>
    <t>SECTION_4_ERROR_COUNT</t>
  </si>
  <si>
    <t>SECTION_4_PROGRESS_PERCENT</t>
  </si>
  <si>
    <t>SECTION_4_STATUS_TEXT</t>
  </si>
  <si>
    <t>SECTION_4_STATUS_CODE</t>
  </si>
  <si>
    <t>SECTION_4_TOC_LABEL</t>
  </si>
  <si>
    <t>{0=No Status; 1=All Status;2=Error Only;}</t>
  </si>
  <si>
    <t>SECTION_5</t>
  </si>
  <si>
    <t>Not Used in UI; PCT_CALC version used instead</t>
  </si>
  <si>
    <t>SECTION_5_RANGE</t>
  </si>
  <si>
    <t>SECTION_5_DONE_COUNT</t>
  </si>
  <si>
    <t>SECTION_5_TOTAL_COUNT</t>
  </si>
  <si>
    <t>SECTION_5_ERROR_COUNT</t>
  </si>
  <si>
    <t>SECTION_5_PROGRESS_PERCENT</t>
  </si>
  <si>
    <t>SECTION_5_STATUS_TEXT</t>
  </si>
  <si>
    <t>SECTION_5_STATUS_CODE</t>
  </si>
  <si>
    <t>SECTION_5_TOC_LABEL</t>
  </si>
  <si>
    <t>ERROR_MESSAGE</t>
  </si>
  <si>
    <t>VMIN</t>
  </si>
  <si>
    <t>VMAX</t>
  </si>
  <si>
    <t>STATUS CODE</t>
  </si>
  <si>
    <t>ERR MESSAGE</t>
  </si>
  <si>
    <t>CELL STATUS CODE</t>
  </si>
  <si>
    <t>FIELD VALUE</t>
  </si>
  <si>
    <t>FIELD ID</t>
  </si>
  <si>
    <t>Yes</t>
  </si>
  <si>
    <t>No</t>
  </si>
  <si>
    <t>$DB.LOOKUP.RANGE_LOOKUP_YESNO</t>
  </si>
  <si>
    <t>HUD</t>
  </si>
  <si>
    <t>$DB.LOOKUP.RANGE_LOOKUP_YESNONA</t>
  </si>
  <si>
    <t>CI_SYSTEM_CODE</t>
  </si>
  <si>
    <t>Table of Contents</t>
  </si>
  <si>
    <t>Condominium</t>
  </si>
  <si>
    <t>Purchase Price</t>
  </si>
  <si>
    <t>EFORM_VERSION_NO</t>
  </si>
  <si>
    <t>VERSION_DISPLAY</t>
  </si>
  <si>
    <t>Round Maintenance &amp; Application Settings</t>
  </si>
  <si>
    <t>$DB.LOOKUP.RANGE_LOOKUP_COUNTY</t>
  </si>
  <si>
    <t>COUNTY_CODE</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</si>
  <si>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</si>
  <si>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</si>
  <si>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</si>
  <si>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</si>
  <si>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</si>
  <si>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</si>
  <si>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</si>
  <si>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</si>
  <si>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</si>
  <si>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</si>
  <si>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</si>
  <si>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</si>
  <si>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</si>
  <si>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</si>
  <si>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</si>
  <si>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</si>
  <si>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</si>
  <si>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</si>
  <si>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</si>
  <si>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</si>
  <si>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</si>
  <si>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</si>
  <si>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</si>
  <si>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</si>
  <si>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</si>
  <si>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</si>
  <si>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</si>
  <si>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</si>
  <si>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</si>
  <si>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</si>
  <si>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</si>
  <si>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</si>
  <si>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</si>
  <si>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</si>
  <si>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</si>
  <si>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</si>
  <si>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</si>
  <si>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</si>
  <si>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</si>
  <si>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</si>
  <si>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</si>
  <si>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</si>
  <si>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</si>
  <si>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</si>
  <si>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</si>
  <si>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</si>
  <si>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</si>
  <si>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</si>
  <si>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</si>
  <si>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</si>
  <si>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</si>
  <si>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</si>
  <si>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</si>
  <si>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</si>
  <si>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</si>
  <si>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</si>
  <si>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</si>
  <si>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</si>
  <si>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</si>
  <si>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</si>
  <si>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</si>
  <si>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</si>
  <si>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</si>
  <si>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</si>
  <si>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</si>
  <si>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</si>
  <si>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</si>
  <si>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 Borough</t>
  </si>
  <si>
    <t>Aleutians West Census Area</t>
  </si>
  <si>
    <t>Anchorage Borough</t>
  </si>
  <si>
    <t>Bethel Census Area</t>
  </si>
  <si>
    <t>Bristol Bay Borough</t>
  </si>
  <si>
    <t>Dillingham Census Area</t>
  </si>
  <si>
    <t>Fairbanks North Star Borough</t>
  </si>
  <si>
    <t>Haines Borough</t>
  </si>
  <si>
    <t>Juneau Borough</t>
  </si>
  <si>
    <t>Kenai Peninsula Borough</t>
  </si>
  <si>
    <t>Ketchikan Gateway Borough</t>
  </si>
  <si>
    <t>Kodiak Island Borough</t>
  </si>
  <si>
    <t>Lake and Peninsula Borough</t>
  </si>
  <si>
    <t>Matanuska-Susitna Borough</t>
  </si>
  <si>
    <t>Nome Census Area</t>
  </si>
  <si>
    <t>North Slope Borough</t>
  </si>
  <si>
    <t>Northwest Arctic Borough</t>
  </si>
  <si>
    <t>Prince of Wales-Outer Ketchikan Census</t>
  </si>
  <si>
    <t>Sitka Borough</t>
  </si>
  <si>
    <t>Skagway-Yakutat-Angoon Census Area</t>
  </si>
  <si>
    <t>Southeast Fairbanks Census Area</t>
  </si>
  <si>
    <t>Valdez-Cordova Census Area</t>
  </si>
  <si>
    <t>Wade Hampton Census Area</t>
  </si>
  <si>
    <t>Wrangell-Petersburg Census Area</t>
  </si>
  <si>
    <t>Yukon-Koyukuk Census Area</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</si>
  <si>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</si>
  <si>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</si>
  <si>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</si>
  <si>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</si>
  <si>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</si>
  <si>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</si>
  <si>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</si>
  <si>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</si>
  <si>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</si>
  <si>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</si>
  <si>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</si>
  <si>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</si>
  <si>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</si>
  <si>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</si>
  <si>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</si>
  <si>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</si>
  <si>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</si>
  <si>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</si>
  <si>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</si>
  <si>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</si>
  <si>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</si>
  <si>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</si>
  <si>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</si>
  <si>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</si>
  <si>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</si>
  <si>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</si>
  <si>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</si>
  <si>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</si>
  <si>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</si>
  <si>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</si>
  <si>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</si>
  <si>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</si>
  <si>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</si>
  <si>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</si>
  <si>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</si>
  <si>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</si>
  <si>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</si>
  <si>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</si>
  <si>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</si>
  <si>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</si>
  <si>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</si>
  <si>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</si>
  <si>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</si>
  <si>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</si>
  <si>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</si>
  <si>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</si>
  <si>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</si>
  <si>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</si>
  <si>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</si>
  <si>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</si>
  <si>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</si>
  <si>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</si>
  <si>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</si>
  <si>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</si>
  <si>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</si>
  <si>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</si>
  <si>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</si>
  <si>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</si>
  <si>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</si>
  <si>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</si>
  <si>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</si>
  <si>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</si>
  <si>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</si>
  <si>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</si>
  <si>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</si>
  <si>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</si>
  <si>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</si>
  <si>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</si>
  <si>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</si>
  <si>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</si>
  <si>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</si>
  <si>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</si>
  <si>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</si>
  <si>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</si>
  <si>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</si>
  <si>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</si>
  <si>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</si>
  <si>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</si>
  <si>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</si>
  <si>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</si>
  <si>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</si>
  <si>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</si>
  <si>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</si>
  <si>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</si>
  <si>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</si>
  <si>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</si>
  <si>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</si>
  <si>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</si>
  <si>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</si>
  <si>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</si>
  <si>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</si>
  <si>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</si>
  <si>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</si>
  <si>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</si>
  <si>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</si>
  <si>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</si>
  <si>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</si>
  <si>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</si>
  <si>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</si>
  <si>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</si>
  <si>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</si>
  <si>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</si>
  <si>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</si>
  <si>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</si>
  <si>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</si>
  <si>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</si>
  <si>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</si>
  <si>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</si>
  <si>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</si>
  <si>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</si>
  <si>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</si>
  <si>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</si>
  <si>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</si>
  <si>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</si>
  <si>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</si>
  <si>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</si>
  <si>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</si>
  <si>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</si>
  <si>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</si>
  <si>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</si>
  <si>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</si>
  <si>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</si>
  <si>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</si>
  <si>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</si>
  <si>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</si>
  <si>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</si>
  <si>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</si>
  <si>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</si>
  <si>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</si>
  <si>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</si>
  <si>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</si>
  <si>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</si>
  <si>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</si>
  <si>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</si>
  <si>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</si>
  <si>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</si>
  <si>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</si>
  <si>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</si>
  <si>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</si>
  <si>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</si>
  <si>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</si>
  <si>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</si>
  <si>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</si>
  <si>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</si>
  <si>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</si>
  <si>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</si>
  <si>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</si>
  <si>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</si>
  <si>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</si>
  <si>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</si>
  <si>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</si>
  <si>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</si>
  <si>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</si>
  <si>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</si>
  <si>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</si>
  <si>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</si>
  <si>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</si>
  <si>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</si>
  <si>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</si>
  <si>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</si>
  <si>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</si>
  <si>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</si>
  <si>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</si>
  <si>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</si>
  <si>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</si>
  <si>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</si>
  <si>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</si>
  <si>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</si>
  <si>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</si>
  <si>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</si>
  <si>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</si>
  <si>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</si>
  <si>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</si>
  <si>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</si>
  <si>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</si>
  <si>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</si>
  <si>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</si>
  <si>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</si>
  <si>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</si>
  <si>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</si>
  <si>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</si>
  <si>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</si>
  <si>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</si>
  <si>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</si>
  <si>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</si>
  <si>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</si>
  <si>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</si>
  <si>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</si>
  <si>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</si>
  <si>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</si>
  <si>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</si>
  <si>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</si>
  <si>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</si>
  <si>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District of Columbia</t>
  </si>
  <si>
    <t>DC</t>
  </si>
  <si>
    <t>Alachua</t>
  </si>
  <si>
    <t>Baker</t>
  </si>
  <si>
    <t>Bay</t>
  </si>
  <si>
    <t>Bradford</t>
  </si>
  <si>
    <t>Brevard</t>
  </si>
  <si>
    <t>Broward</t>
  </si>
  <si>
    <t>Charlotte</t>
  </si>
  <si>
    <t>Citrus</t>
  </si>
  <si>
    <t>Collier</t>
  </si>
  <si>
    <t>Dade</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</si>
  <si>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</si>
  <si>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</si>
  <si>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</si>
  <si>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</si>
  <si>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</si>
  <si>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</si>
  <si>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</si>
  <si>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</si>
  <si>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</si>
  <si>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</si>
  <si>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</si>
  <si>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</si>
  <si>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</si>
  <si>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</si>
  <si>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</si>
  <si>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</si>
  <si>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</si>
  <si>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</si>
  <si>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</si>
  <si>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</si>
  <si>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</si>
  <si>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</si>
  <si>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</si>
  <si>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</si>
  <si>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</si>
  <si>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</si>
  <si>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</si>
  <si>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</si>
  <si>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</si>
  <si>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</si>
  <si>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</si>
  <si>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</si>
  <si>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</si>
  <si>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</si>
  <si>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</si>
  <si>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</si>
  <si>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</si>
  <si>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</si>
  <si>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</si>
  <si>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</si>
  <si>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</si>
  <si>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</si>
  <si>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</si>
  <si>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</si>
  <si>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</si>
  <si>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</si>
  <si>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</si>
  <si>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</si>
  <si>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</si>
  <si>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</si>
  <si>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</si>
  <si>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</si>
  <si>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</si>
  <si>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</si>
  <si>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</si>
  <si>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</si>
  <si>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</si>
  <si>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</si>
  <si>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</si>
  <si>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</si>
  <si>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</si>
  <si>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</si>
  <si>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</si>
  <si>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</si>
  <si>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</si>
  <si>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</si>
  <si>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</si>
  <si>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</si>
  <si>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</si>
  <si>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</si>
  <si>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De 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</si>
  <si>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</si>
  <si>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</si>
  <si>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</si>
  <si>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</si>
  <si>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</si>
  <si>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</si>
  <si>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</si>
  <si>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</si>
  <si>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</si>
  <si>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</si>
  <si>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</si>
  <si>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</si>
  <si>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</si>
  <si>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</si>
  <si>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</si>
  <si>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</si>
  <si>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</si>
  <si>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</si>
  <si>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</si>
  <si>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</si>
  <si>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</si>
  <si>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</si>
  <si>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</si>
  <si>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</si>
  <si>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</si>
  <si>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</si>
  <si>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</si>
  <si>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</si>
  <si>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</si>
  <si>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</si>
  <si>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</si>
  <si>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</si>
  <si>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</si>
  <si>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</si>
  <si>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</si>
  <si>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</si>
  <si>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</si>
  <si>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</si>
  <si>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</si>
  <si>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</si>
  <si>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</si>
  <si>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</si>
  <si>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</si>
  <si>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</si>
  <si>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</si>
  <si>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</si>
  <si>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</si>
  <si>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</si>
  <si>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</si>
  <si>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</si>
  <si>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</si>
  <si>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</si>
  <si>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</si>
  <si>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</si>
  <si>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</si>
  <si>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</si>
  <si>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</si>
  <si>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</si>
  <si>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</si>
  <si>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</si>
  <si>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</si>
  <si>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</si>
  <si>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</si>
  <si>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</si>
  <si>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</si>
  <si>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</si>
  <si>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</si>
  <si>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</si>
  <si>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</si>
  <si>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</si>
  <si>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</si>
  <si>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</si>
  <si>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</si>
  <si>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</si>
  <si>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</si>
  <si>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</si>
  <si>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</si>
  <si>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</si>
  <si>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</si>
  <si>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</si>
  <si>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</si>
  <si>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</si>
  <si>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</si>
  <si>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</si>
  <si>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</si>
  <si>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</si>
  <si>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</si>
  <si>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</si>
  <si>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</si>
  <si>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</si>
  <si>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</si>
  <si>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</si>
  <si>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</si>
  <si>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</si>
  <si>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</si>
  <si>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</si>
  <si>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</si>
  <si>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</si>
  <si>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</si>
  <si>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</si>
  <si>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</si>
  <si>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</si>
  <si>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</si>
  <si>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</si>
  <si>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</si>
  <si>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</si>
  <si>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</si>
  <si>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</si>
  <si>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</si>
  <si>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</si>
  <si>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</si>
  <si>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</si>
  <si>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</si>
  <si>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</si>
  <si>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</si>
  <si>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</si>
  <si>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</si>
  <si>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</si>
  <si>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</si>
  <si>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</si>
  <si>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</si>
  <si>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</si>
  <si>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</si>
  <si>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</si>
  <si>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</si>
  <si>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</si>
  <si>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</si>
  <si>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</si>
  <si>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</si>
  <si>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</si>
  <si>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</si>
  <si>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</si>
  <si>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</si>
  <si>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</si>
  <si>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</si>
  <si>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</si>
  <si>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</si>
  <si>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</si>
  <si>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</si>
  <si>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</si>
  <si>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</si>
  <si>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</si>
  <si>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</si>
  <si>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</si>
  <si>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</si>
  <si>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</si>
  <si>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</si>
  <si>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</si>
  <si>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</si>
  <si>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</si>
  <si>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</si>
  <si>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</si>
  <si>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</si>
  <si>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</si>
  <si>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</si>
  <si>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</si>
  <si>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</si>
  <si>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</si>
  <si>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</si>
  <si>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</si>
  <si>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</si>
  <si>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</si>
  <si>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</si>
  <si>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</si>
  <si>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</si>
  <si>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</si>
  <si>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</si>
  <si>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</si>
  <si>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</si>
  <si>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</si>
  <si>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</si>
  <si>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</si>
  <si>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</si>
  <si>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</si>
  <si>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</si>
  <si>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</si>
  <si>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</si>
  <si>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</si>
  <si>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</si>
  <si>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</si>
  <si>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</si>
  <si>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</si>
  <si>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</si>
  <si>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</si>
  <si>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</si>
  <si>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La 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</si>
  <si>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</si>
  <si>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</si>
  <si>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</si>
  <si>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</si>
  <si>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</si>
  <si>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</si>
  <si>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</si>
  <si>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</si>
  <si>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</si>
  <si>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</si>
  <si>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</si>
  <si>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</si>
  <si>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</si>
  <si>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</si>
  <si>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</si>
  <si>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</si>
  <si>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</si>
  <si>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</si>
  <si>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</si>
  <si>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</si>
  <si>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</si>
  <si>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</si>
  <si>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</si>
  <si>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</si>
  <si>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</si>
  <si>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</si>
  <si>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</si>
  <si>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</si>
  <si>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</si>
  <si>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</si>
  <si>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</si>
  <si>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</si>
  <si>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</si>
  <si>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</si>
  <si>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</si>
  <si>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</si>
  <si>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</si>
  <si>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</si>
  <si>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</si>
  <si>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</si>
  <si>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</si>
  <si>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</si>
  <si>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</si>
  <si>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</si>
  <si>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</si>
  <si>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</si>
  <si>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</si>
  <si>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</si>
  <si>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</si>
  <si>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</si>
  <si>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</si>
  <si>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</si>
  <si>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</si>
  <si>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</si>
  <si>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</si>
  <si>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</si>
  <si>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</si>
  <si>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</si>
  <si>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</si>
  <si>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</si>
  <si>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</si>
  <si>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</si>
  <si>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</si>
  <si>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</si>
  <si>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</si>
  <si>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</si>
  <si>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</si>
  <si>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</si>
  <si>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</si>
  <si>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</si>
  <si>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</si>
  <si>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</si>
  <si>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</si>
  <si>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</si>
  <si>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</si>
  <si>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</si>
  <si>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</si>
  <si>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</si>
  <si>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</si>
  <si>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</si>
  <si>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</si>
  <si>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</si>
  <si>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</si>
  <si>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</si>
  <si>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</si>
  <si>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</si>
  <si>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</si>
  <si>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</si>
  <si>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</si>
  <si>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</si>
  <si>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</si>
  <si>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</si>
  <si>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</si>
  <si>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</si>
  <si>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</si>
  <si>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</si>
  <si>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</si>
  <si>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</si>
  <si>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</si>
  <si>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</si>
  <si>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</si>
  <si>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</si>
  <si>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</si>
  <si>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</si>
  <si>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</si>
  <si>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</si>
  <si>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</si>
  <si>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</si>
  <si>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</si>
  <si>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</si>
  <si>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</si>
  <si>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</si>
  <si>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</si>
  <si>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</si>
  <si>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</si>
  <si>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</si>
  <si>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</si>
  <si>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</si>
  <si>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</si>
  <si>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</si>
  <si>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</si>
  <si>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</si>
  <si>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</si>
  <si>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</si>
  <si>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</si>
  <si>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</si>
  <si>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</si>
  <si>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</si>
  <si>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</si>
  <si>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</si>
  <si>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</si>
  <si>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</si>
  <si>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</si>
  <si>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</si>
  <si>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</si>
  <si>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</si>
  <si>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</si>
  <si>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</si>
  <si>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</si>
  <si>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</si>
  <si>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</si>
  <si>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</si>
  <si>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</si>
  <si>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</si>
  <si>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</si>
  <si>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</si>
  <si>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</si>
  <si>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</si>
  <si>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</si>
  <si>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</si>
  <si>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</si>
  <si>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</si>
  <si>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</si>
  <si>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</si>
  <si>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</si>
  <si>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</si>
  <si>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</si>
  <si>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</si>
  <si>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</si>
  <si>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</si>
  <si>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</si>
  <si>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</si>
  <si>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</si>
  <si>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</si>
  <si>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</si>
  <si>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</si>
  <si>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</si>
  <si>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</si>
  <si>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</si>
  <si>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</si>
  <si>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</si>
  <si>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</si>
  <si>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</si>
  <si>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</si>
  <si>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</si>
  <si>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</si>
  <si>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</si>
  <si>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</si>
  <si>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</si>
  <si>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</si>
  <si>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</si>
  <si>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</si>
  <si>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</si>
  <si>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</si>
  <si>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</si>
  <si>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</si>
  <si>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</si>
  <si>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</si>
  <si>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</si>
  <si>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</si>
  <si>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</si>
  <si>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</si>
  <si>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</si>
  <si>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</si>
  <si>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</si>
  <si>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</si>
  <si>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</si>
  <si>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</si>
  <si>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</si>
  <si>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</si>
  <si>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</si>
  <si>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</si>
  <si>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</si>
  <si>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</si>
  <si>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</si>
  <si>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</si>
  <si>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</si>
  <si>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</si>
  <si>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</si>
  <si>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</si>
  <si>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</si>
  <si>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</si>
  <si>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</si>
  <si>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</si>
  <si>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</si>
  <si>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</si>
  <si>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</si>
  <si>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</si>
  <si>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</si>
  <si>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</si>
  <si>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</si>
  <si>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</si>
  <si>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</si>
  <si>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</si>
  <si>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</si>
  <si>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</si>
  <si>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</si>
  <si>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</si>
  <si>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</si>
  <si>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</si>
  <si>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</si>
  <si>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</si>
  <si>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</si>
  <si>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</si>
  <si>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</si>
  <si>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</si>
  <si>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</si>
  <si>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</si>
  <si>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</si>
  <si>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</si>
  <si>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</si>
  <si>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</si>
  <si>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</si>
  <si>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</si>
  <si>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</si>
  <si>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</si>
  <si>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</si>
  <si>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</si>
  <si>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</si>
  <si>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</si>
  <si>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</si>
  <si>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</si>
  <si>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</si>
  <si>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</si>
  <si>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</si>
  <si>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</si>
  <si>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</si>
  <si>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</si>
  <si>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</si>
  <si>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</si>
  <si>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</si>
  <si>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</si>
  <si>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</si>
  <si>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</si>
  <si>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</si>
  <si>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</si>
  <si>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</si>
  <si>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</si>
  <si>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</si>
  <si>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</si>
  <si>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</si>
  <si>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</si>
  <si>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</si>
  <si>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</si>
  <si>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</si>
  <si>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</si>
  <si>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</si>
  <si>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</si>
  <si>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</si>
  <si>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</si>
  <si>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</si>
  <si>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</si>
  <si>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</si>
  <si>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</si>
  <si>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</si>
  <si>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</si>
  <si>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</si>
  <si>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</si>
  <si>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</si>
  <si>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</si>
  <si>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</si>
  <si>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</si>
  <si>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</si>
  <si>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</si>
  <si>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</si>
  <si>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</si>
  <si>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</si>
  <si>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</si>
  <si>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</si>
  <si>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</si>
  <si>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</si>
  <si>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</si>
  <si>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</si>
  <si>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</si>
  <si>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</si>
  <si>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</si>
  <si>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</si>
  <si>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</si>
  <si>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</si>
  <si>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</si>
  <si>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</si>
  <si>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</si>
  <si>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</si>
  <si>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</si>
  <si>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</si>
  <si>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</si>
  <si>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</si>
  <si>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</si>
  <si>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</si>
  <si>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</si>
  <si>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</si>
  <si>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</si>
  <si>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</si>
  <si>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</si>
  <si>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</si>
  <si>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</si>
  <si>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</si>
  <si>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</si>
  <si>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</si>
  <si>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</si>
  <si>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</si>
  <si>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</si>
  <si>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</si>
  <si>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</si>
  <si>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</si>
  <si>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</si>
  <si>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</si>
  <si>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</si>
  <si>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</si>
  <si>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</si>
  <si>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</si>
  <si>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</si>
  <si>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</si>
  <si>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</si>
  <si>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</si>
  <si>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</si>
  <si>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</si>
  <si>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</si>
  <si>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</si>
  <si>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</si>
  <si>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</si>
  <si>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</si>
  <si>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</si>
  <si>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</si>
  <si>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</si>
  <si>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</si>
  <si>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</si>
  <si>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</si>
  <si>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</si>
  <si>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</si>
  <si>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</si>
  <si>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</si>
  <si>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</si>
  <si>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</si>
  <si>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</si>
  <si>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</si>
  <si>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</si>
  <si>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</si>
  <si>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</si>
  <si>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</si>
  <si>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</si>
  <si>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</si>
  <si>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</si>
  <si>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</si>
  <si>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</si>
  <si>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</si>
  <si>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</si>
  <si>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</si>
  <si>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</si>
  <si>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</si>
  <si>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</si>
  <si>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</si>
  <si>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</si>
  <si>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</si>
  <si>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</si>
  <si>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</si>
  <si>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</si>
  <si>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</si>
  <si>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</si>
  <si>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</si>
  <si>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</si>
  <si>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</si>
  <si>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</si>
  <si>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</si>
  <si>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</si>
  <si>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</si>
  <si>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</si>
  <si>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</si>
  <si>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</si>
  <si>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</si>
  <si>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</si>
  <si>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</si>
  <si>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</si>
  <si>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</si>
  <si>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</si>
  <si>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</si>
  <si>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</si>
  <si>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</si>
  <si>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</si>
  <si>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</si>
  <si>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</si>
  <si>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</si>
  <si>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</si>
  <si>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</si>
  <si>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</si>
  <si>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</si>
  <si>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</si>
  <si>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</si>
  <si>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Claiborne</t>
  </si>
  <si>
    <t>Coahoma</t>
  </si>
  <si>
    <t>Copiah</t>
  </si>
  <si>
    <t>De Soto</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</si>
  <si>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</si>
  <si>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</si>
  <si>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</si>
  <si>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</si>
  <si>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</si>
  <si>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</si>
  <si>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</si>
  <si>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</si>
  <si>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</si>
  <si>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</si>
  <si>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</si>
  <si>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</si>
  <si>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</si>
  <si>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</si>
  <si>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</si>
  <si>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</si>
  <si>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</si>
  <si>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</si>
  <si>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</si>
  <si>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</si>
  <si>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</si>
  <si>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</si>
  <si>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</si>
  <si>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</si>
  <si>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</si>
  <si>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</si>
  <si>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</si>
  <si>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</si>
  <si>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</si>
  <si>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</si>
  <si>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</si>
  <si>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</si>
  <si>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</si>
  <si>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</si>
  <si>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</si>
  <si>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</si>
  <si>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</si>
  <si>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</si>
  <si>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</si>
  <si>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</si>
  <si>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</si>
  <si>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</si>
  <si>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</si>
  <si>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</si>
  <si>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</si>
  <si>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</si>
  <si>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</si>
  <si>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</si>
  <si>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</si>
  <si>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</si>
  <si>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</si>
  <si>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</si>
  <si>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</si>
  <si>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</si>
  <si>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</si>
  <si>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</si>
  <si>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</si>
  <si>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</si>
  <si>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</si>
  <si>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</si>
  <si>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 Charles</t>
  </si>
  <si>
    <t>Ste. Genevieve</t>
  </si>
  <si>
    <t>St. Francois</t>
  </si>
  <si>
    <t>Scotland</t>
  </si>
  <si>
    <t>Shannon</t>
  </si>
  <si>
    <t>Stoddard</t>
  </si>
  <si>
    <t>Taney</t>
  </si>
  <si>
    <t>Texas</t>
  </si>
  <si>
    <t>Vernon</t>
  </si>
  <si>
    <t>St. Louis city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</si>
  <si>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</si>
  <si>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</si>
  <si>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</si>
  <si>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</si>
  <si>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</si>
  <si>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</si>
  <si>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</si>
  <si>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</si>
  <si>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</si>
  <si>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</si>
  <si>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</si>
  <si>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</si>
  <si>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</si>
  <si>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</si>
  <si>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</si>
  <si>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</si>
  <si>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</si>
  <si>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</si>
  <si>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</si>
  <si>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</si>
  <si>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</si>
  <si>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</si>
  <si>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</si>
  <si>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</si>
  <si>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</si>
  <si>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</si>
  <si>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</si>
  <si>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</si>
  <si>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</si>
  <si>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</si>
  <si>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</si>
  <si>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</si>
  <si>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</si>
  <si>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</si>
  <si>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</si>
  <si>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</si>
  <si>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Yellowstone National Park</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</si>
  <si>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</si>
  <si>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</si>
  <si>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</si>
  <si>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</si>
  <si>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</si>
  <si>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</si>
  <si>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</si>
  <si>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</si>
  <si>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</si>
  <si>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</si>
  <si>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</si>
  <si>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</si>
  <si>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</si>
  <si>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</si>
  <si>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</si>
  <si>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</si>
  <si>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</si>
  <si>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</si>
  <si>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</si>
  <si>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</si>
  <si>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</si>
  <si>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</si>
  <si>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</si>
  <si>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</si>
  <si>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</si>
  <si>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</si>
  <si>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</si>
  <si>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</si>
  <si>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</si>
  <si>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</si>
  <si>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</si>
  <si>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</si>
  <si>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</si>
  <si>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</si>
  <si>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</si>
  <si>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</si>
  <si>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</si>
  <si>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</si>
  <si>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</si>
  <si>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</si>
  <si>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</si>
  <si>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</si>
  <si>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</si>
  <si>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</si>
  <si>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</si>
  <si>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</si>
  <si>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</si>
  <si>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</si>
  <si>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</si>
  <si>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</si>
  <si>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</si>
  <si>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</si>
  <si>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</si>
  <si>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</si>
  <si>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</si>
  <si>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</si>
  <si>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</si>
  <si>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</si>
  <si>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</si>
  <si>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</si>
  <si>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</si>
  <si>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</si>
  <si>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</si>
  <si>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</si>
  <si>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</si>
  <si>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</si>
  <si>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</si>
  <si>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</si>
  <si>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</si>
  <si>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</si>
  <si>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</si>
  <si>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</si>
  <si>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</si>
  <si>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</si>
  <si>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</si>
  <si>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</si>
  <si>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</si>
  <si>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</si>
  <si>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</si>
  <si>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</si>
  <si>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</si>
  <si>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</si>
  <si>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</si>
  <si>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</si>
  <si>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</si>
  <si>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</si>
  <si>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</si>
  <si>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</si>
  <si>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</si>
  <si>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</si>
  <si>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</si>
  <si>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</si>
  <si>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</si>
  <si>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</si>
  <si>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</si>
  <si>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</si>
  <si>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</si>
  <si>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</si>
  <si>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</si>
  <si>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</si>
  <si>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</si>
  <si>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</si>
  <si>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</si>
  <si>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</si>
  <si>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New York</t>
  </si>
  <si>
    <t>Niagara</t>
  </si>
  <si>
    <t>Onondaga</t>
  </si>
  <si>
    <t>Ontario</t>
  </si>
  <si>
    <t>Orleans</t>
  </si>
  <si>
    <t>Oswego</t>
  </si>
  <si>
    <t>Queens</t>
  </si>
  <si>
    <t>Rensselaer</t>
  </si>
  <si>
    <t>Rockland</t>
  </si>
  <si>
    <t>St. Lawrence</t>
  </si>
  <si>
    <t>Saratoga</t>
  </si>
  <si>
    <t>Schenectady</t>
  </si>
  <si>
    <t>Schoharie</t>
  </si>
  <si>
    <t>Seneca</t>
  </si>
  <si>
    <t>Tioga</t>
  </si>
  <si>
    <t>Tompkins</t>
  </si>
  <si>
    <t>Ulster</t>
  </si>
  <si>
    <t>Westchester</t>
  </si>
  <si>
    <t>Wyoming</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</si>
  <si>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</si>
  <si>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</si>
  <si>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</si>
  <si>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</si>
  <si>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</si>
  <si>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</si>
  <si>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</si>
  <si>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</si>
  <si>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</si>
  <si>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</si>
  <si>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</si>
  <si>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</si>
  <si>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</si>
  <si>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</si>
  <si>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</si>
  <si>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</si>
  <si>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</si>
  <si>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</si>
  <si>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</si>
  <si>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</si>
  <si>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</si>
  <si>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</si>
  <si>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</si>
  <si>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</si>
  <si>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</si>
  <si>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</si>
  <si>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</si>
  <si>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</si>
  <si>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</si>
  <si>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</si>
  <si>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</si>
  <si>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</si>
  <si>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</si>
  <si>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</si>
  <si>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</si>
  <si>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</si>
  <si>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</si>
  <si>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</si>
  <si>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</si>
  <si>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</si>
  <si>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</si>
  <si>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</si>
  <si>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</si>
  <si>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</si>
  <si>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</si>
  <si>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</si>
  <si>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</si>
  <si>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</si>
  <si>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</si>
  <si>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</si>
  <si>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</si>
  <si>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</si>
  <si>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</si>
  <si>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</si>
  <si>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</si>
  <si>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</si>
  <si>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</si>
  <si>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</si>
  <si>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</si>
  <si>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</si>
  <si>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</si>
  <si>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</si>
  <si>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</si>
  <si>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</si>
  <si>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</si>
  <si>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</si>
  <si>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</si>
  <si>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</si>
  <si>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</si>
  <si>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</si>
  <si>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</si>
  <si>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</si>
  <si>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</si>
  <si>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</si>
  <si>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</si>
  <si>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</si>
  <si>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</si>
  <si>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</si>
  <si>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</si>
  <si>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</si>
  <si>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</si>
  <si>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</si>
  <si>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</si>
  <si>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</si>
  <si>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</si>
  <si>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</si>
  <si>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</si>
  <si>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</si>
  <si>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</si>
  <si>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</si>
  <si>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</si>
  <si>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</si>
  <si>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</si>
  <si>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</si>
  <si>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</si>
  <si>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</si>
  <si>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</si>
  <si>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</si>
  <si>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</si>
  <si>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</si>
  <si>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</si>
  <si>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</si>
  <si>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</si>
  <si>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</si>
  <si>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</si>
  <si>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</si>
  <si>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</si>
  <si>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</si>
  <si>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</si>
  <si>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</si>
  <si>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</si>
  <si>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</si>
  <si>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</si>
  <si>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</si>
  <si>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</si>
  <si>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</si>
  <si>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</si>
  <si>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</si>
  <si>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</si>
  <si>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</si>
  <si>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</si>
  <si>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</si>
  <si>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</si>
  <si>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</si>
  <si>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</si>
  <si>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</si>
  <si>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</si>
  <si>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</si>
  <si>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</si>
  <si>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</si>
  <si>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</si>
  <si>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</si>
  <si>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</si>
  <si>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</si>
  <si>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</si>
  <si>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Caddo</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</si>
  <si>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</si>
  <si>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</si>
  <si>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</si>
  <si>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</si>
  <si>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</si>
  <si>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</si>
  <si>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</si>
  <si>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</si>
  <si>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</si>
  <si>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</si>
  <si>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</si>
  <si>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</si>
  <si>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</si>
  <si>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</si>
  <si>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</si>
  <si>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</si>
  <si>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</si>
  <si>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</si>
  <si>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</si>
  <si>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</si>
  <si>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</si>
  <si>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</si>
  <si>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</si>
  <si>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</si>
  <si>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</si>
  <si>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</si>
  <si>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</si>
  <si>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</si>
  <si>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</si>
  <si>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</si>
  <si>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</si>
  <si>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</si>
  <si>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</si>
  <si>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</si>
  <si>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</si>
  <si>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</si>
  <si>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</si>
  <si>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</si>
  <si>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</si>
  <si>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</si>
  <si>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</si>
  <si>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</si>
  <si>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</si>
  <si>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</si>
  <si>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</si>
  <si>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</si>
  <si>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</si>
  <si>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</si>
  <si>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</si>
  <si>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</si>
  <si>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</si>
  <si>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</si>
  <si>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</si>
  <si>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</si>
  <si>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</si>
  <si>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</si>
  <si>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</si>
  <si>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</si>
  <si>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</si>
  <si>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</si>
  <si>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Cameron</t>
  </si>
  <si>
    <t>Centre</t>
  </si>
  <si>
    <t>Chester</t>
  </si>
  <si>
    <t>Clarion</t>
  </si>
  <si>
    <t>Clearfield</t>
  </si>
  <si>
    <t>Dauphin</t>
  </si>
  <si>
    <t>Forest</t>
  </si>
  <si>
    <t>Huntingdon</t>
  </si>
  <si>
    <t>Indiana</t>
  </si>
  <si>
    <t>Juniata</t>
  </si>
  <si>
    <t>Lackawanna</t>
  </si>
  <si>
    <t>Lebanon</t>
  </si>
  <si>
    <t>Lehigh</t>
  </si>
  <si>
    <t>Luzerne</t>
  </si>
  <si>
    <t>Lycoming</t>
  </si>
  <si>
    <t>Mc 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</si>
  <si>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</si>
  <si>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</si>
  <si>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</si>
  <si>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</si>
  <si>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</si>
  <si>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</si>
  <si>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</si>
  <si>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</si>
  <si>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</si>
  <si>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</si>
  <si>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</si>
  <si>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</si>
  <si>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</si>
  <si>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</si>
  <si>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</si>
  <si>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</si>
  <si>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</si>
  <si>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</si>
  <si>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</si>
  <si>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</si>
  <si>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</si>
  <si>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</si>
  <si>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</si>
  <si>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</si>
  <si>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</si>
  <si>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</si>
  <si>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</si>
  <si>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</si>
  <si>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</si>
  <si>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</si>
  <si>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</si>
  <si>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</si>
  <si>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</si>
  <si>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</si>
  <si>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</si>
  <si>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</si>
  <si>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</si>
  <si>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</si>
  <si>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</si>
  <si>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</si>
  <si>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</si>
  <si>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</si>
  <si>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</si>
  <si>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</si>
  <si>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</si>
  <si>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</si>
  <si>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</si>
  <si>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</si>
  <si>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</si>
  <si>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</si>
  <si>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</si>
  <si>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</si>
  <si>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</si>
  <si>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</si>
  <si>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</si>
  <si>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</si>
  <si>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</si>
  <si>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</si>
  <si>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</si>
  <si>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</si>
  <si>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</si>
  <si>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</si>
  <si>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</si>
  <si>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</si>
  <si>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</si>
  <si>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</si>
  <si>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</si>
  <si>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</si>
  <si>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</si>
  <si>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</si>
  <si>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</si>
  <si>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</si>
  <si>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</si>
  <si>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</si>
  <si>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</si>
  <si>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</si>
  <si>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</si>
  <si>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</si>
  <si>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</si>
  <si>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</si>
  <si>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</si>
  <si>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</si>
  <si>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</si>
  <si>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</si>
  <si>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</si>
  <si>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</si>
  <si>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</si>
  <si>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</si>
  <si>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</si>
  <si>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</si>
  <si>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</si>
  <si>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</si>
  <si>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</si>
  <si>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</si>
  <si>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</si>
  <si>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</si>
  <si>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</si>
  <si>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</si>
  <si>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</si>
  <si>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</si>
  <si>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</si>
  <si>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</si>
  <si>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</si>
  <si>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</si>
  <si>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</si>
  <si>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</si>
  <si>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</si>
  <si>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</si>
  <si>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</si>
  <si>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</si>
  <si>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</si>
  <si>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</si>
  <si>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</si>
  <si>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</si>
  <si>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</si>
  <si>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</si>
  <si>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</si>
  <si>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</si>
  <si>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</si>
  <si>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</si>
  <si>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</si>
  <si>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</si>
  <si>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</si>
  <si>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</si>
  <si>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</si>
  <si>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</si>
  <si>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</si>
  <si>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</si>
  <si>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</si>
  <si>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</si>
  <si>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</si>
  <si>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</si>
  <si>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</si>
  <si>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</si>
  <si>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</si>
  <si>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</si>
  <si>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</si>
  <si>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</si>
  <si>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</si>
  <si>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</si>
  <si>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</si>
  <si>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</si>
  <si>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</si>
  <si>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</si>
  <si>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</si>
  <si>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</si>
  <si>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</si>
  <si>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</si>
  <si>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</si>
  <si>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</si>
  <si>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</si>
  <si>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</si>
  <si>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</si>
  <si>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</si>
  <si>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</si>
  <si>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</si>
  <si>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</si>
  <si>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</si>
  <si>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</si>
  <si>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</si>
  <si>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</si>
  <si>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</si>
  <si>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</si>
  <si>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</si>
  <si>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</si>
  <si>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</si>
  <si>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</si>
  <si>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</si>
  <si>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</si>
  <si>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</si>
  <si>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</si>
  <si>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</si>
  <si>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</si>
  <si>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</si>
  <si>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</si>
  <si>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</si>
  <si>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</si>
  <si>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</si>
  <si>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</si>
  <si>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</si>
  <si>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</si>
  <si>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</si>
  <si>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</si>
  <si>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</si>
  <si>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</si>
  <si>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</si>
  <si>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</si>
  <si>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</si>
  <si>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</si>
  <si>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</si>
  <si>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</si>
  <si>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</si>
  <si>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</si>
  <si>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</si>
  <si>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</si>
  <si>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</si>
  <si>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</si>
  <si>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</si>
  <si>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</si>
  <si>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</si>
  <si>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</si>
  <si>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</si>
  <si>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</si>
  <si>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</si>
  <si>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</si>
  <si>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</si>
  <si>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</si>
  <si>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</si>
  <si>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</si>
  <si>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</si>
  <si>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</si>
  <si>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</si>
  <si>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</si>
  <si>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</si>
  <si>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</si>
  <si>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</si>
  <si>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</si>
  <si>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</si>
  <si>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</si>
  <si>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Red River</t>
  </si>
  <si>
    <t>Reeves</t>
  </si>
  <si>
    <t>Refugio</t>
  </si>
  <si>
    <t>Rockwall</t>
  </si>
  <si>
    <t>Runnels</t>
  </si>
  <si>
    <t>Rusk</t>
  </si>
  <si>
    <t>Sabine</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</si>
  <si>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</si>
  <si>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</si>
  <si>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</si>
  <si>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</si>
  <si>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</si>
  <si>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</si>
  <si>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</si>
  <si>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</si>
  <si>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</si>
  <si>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</si>
  <si>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</si>
  <si>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</si>
  <si>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</si>
  <si>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</si>
  <si>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</si>
  <si>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</si>
  <si>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</si>
  <si>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</si>
  <si>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</si>
  <si>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</si>
  <si>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</si>
  <si>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</si>
  <si>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</si>
  <si>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</si>
  <si>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</si>
  <si>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</si>
  <si>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</si>
  <si>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</si>
  <si>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</si>
  <si>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</si>
  <si>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</si>
  <si>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</si>
  <si>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</si>
  <si>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</si>
  <si>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</si>
  <si>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</si>
  <si>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</si>
  <si>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</si>
  <si>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</si>
  <si>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</si>
  <si>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</si>
  <si>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</si>
  <si>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</si>
  <si>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</si>
  <si>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</si>
  <si>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</si>
  <si>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</si>
  <si>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</si>
  <si>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</si>
  <si>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</si>
  <si>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Utah</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</si>
  <si>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</si>
  <si>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</si>
  <si>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</si>
  <si>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</si>
  <si>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</si>
  <si>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</si>
  <si>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</si>
  <si>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</si>
  <si>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</si>
  <si>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</si>
  <si>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</si>
  <si>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</si>
  <si>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</si>
  <si>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</si>
  <si>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</si>
  <si>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</si>
  <si>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</si>
  <si>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</si>
  <si>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</si>
  <si>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</si>
  <si>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</si>
  <si>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</si>
  <si>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</si>
  <si>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</si>
  <si>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</si>
  <si>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</si>
  <si>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</si>
  <si>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</si>
  <si>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</si>
  <si>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</si>
  <si>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</si>
  <si>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</si>
  <si>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</si>
  <si>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</si>
  <si>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</si>
  <si>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</si>
  <si>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</si>
  <si>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</si>
  <si>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</si>
  <si>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</si>
  <si>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</si>
  <si>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</si>
  <si>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</si>
  <si>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</si>
  <si>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</si>
  <si>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</si>
  <si>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</si>
  <si>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</si>
  <si>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</si>
  <si>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</si>
  <si>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</si>
  <si>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</si>
  <si>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</si>
  <si>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</si>
  <si>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</si>
  <si>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</si>
  <si>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Bedford city</t>
  </si>
  <si>
    <t>Bristol city</t>
  </si>
  <si>
    <t>Buena Vista city</t>
  </si>
  <si>
    <t>Charlottesville city</t>
  </si>
  <si>
    <t>Chesapeake city</t>
  </si>
  <si>
    <t>Clifton Forge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</si>
  <si>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</si>
  <si>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</si>
  <si>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</si>
  <si>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</si>
  <si>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</si>
  <si>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</si>
  <si>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</si>
  <si>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</si>
  <si>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</si>
  <si>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</si>
  <si>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</si>
  <si>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</si>
  <si>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</si>
  <si>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</si>
  <si>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</si>
  <si>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</si>
  <si>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</si>
  <si>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</si>
  <si>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</si>
  <si>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</si>
  <si>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</si>
  <si>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</si>
  <si>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</si>
  <si>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</si>
  <si>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</si>
  <si>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</si>
  <si>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</si>
  <si>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South Boston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</si>
  <si>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</si>
  <si>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</si>
  <si>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</si>
  <si>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</si>
  <si>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</si>
  <si>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</si>
  <si>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</si>
  <si>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</si>
  <si>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</si>
  <si>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</si>
  <si>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</si>
  <si>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</si>
  <si>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</si>
  <si>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</si>
  <si>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</si>
  <si>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</si>
  <si>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</si>
  <si>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</si>
  <si>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</si>
  <si>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</si>
  <si>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</si>
  <si>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</si>
  <si>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</si>
  <si>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</si>
  <si>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</si>
  <si>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</si>
  <si>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</si>
  <si>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</si>
  <si>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</si>
  <si>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</si>
  <si>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</si>
  <si>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</si>
  <si>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</si>
  <si>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</si>
  <si>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</si>
  <si>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</si>
  <si>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</si>
  <si>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</si>
  <si>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</si>
  <si>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</si>
  <si>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</si>
  <si>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</si>
  <si>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</si>
  <si>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</si>
  <si>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</si>
  <si>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</si>
  <si>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</si>
  <si>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</si>
  <si>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</si>
  <si>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</si>
  <si>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</si>
  <si>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</si>
  <si>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</si>
  <si>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</si>
  <si>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Juneau</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</si>
  <si>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</si>
  <si>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</si>
  <si>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</si>
  <si>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</si>
  <si>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</si>
  <si>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</si>
  <si>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</si>
  <si>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</si>
  <si>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</si>
  <si>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</si>
  <si>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</si>
  <si>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</si>
  <si>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</si>
  <si>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</si>
  <si>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</si>
  <si>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</si>
  <si>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</si>
  <si>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</si>
  <si>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</si>
  <si>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</si>
  <si>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</si>
  <si>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</si>
  <si>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</si>
  <si>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</si>
  <si>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</si>
  <si>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</si>
  <si>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</si>
  <si>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</si>
  <si>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</si>
  <si>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</si>
  <si>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</si>
  <si>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</si>
  <si>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</si>
  <si>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</si>
  <si>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</si>
  <si>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</si>
  <si>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</si>
  <si>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</si>
  <si>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</si>
  <si>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</si>
  <si>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</si>
  <si>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</si>
  <si>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</si>
  <si>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</si>
  <si>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</si>
  <si>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</si>
  <si>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</si>
  <si>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</si>
  <si>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</si>
  <si>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</si>
  <si>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</si>
  <si>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</si>
  <si>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</si>
  <si>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</si>
  <si>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</si>
  <si>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</si>
  <si>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</si>
  <si>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Coama</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</si>
  <si>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</si>
  <si>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</si>
  <si>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</si>
  <si>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</si>
  <si>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</si>
  <si>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</si>
  <si>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</si>
  <si>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</si>
  <si>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</si>
  <si>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</si>
  <si>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</si>
  <si>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</si>
  <si>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</si>
  <si>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</si>
  <si>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</si>
  <si>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</si>
  <si>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</si>
  <si>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</si>
  <si>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</si>
  <si>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</si>
  <si>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</si>
  <si>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</si>
  <si>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</si>
  <si>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</si>
  <si>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</si>
  <si>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</si>
  <si>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</si>
  <si>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</si>
  <si>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</si>
  <si>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</si>
  <si>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</si>
  <si>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</si>
  <si>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</si>
  <si>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</si>
  <si>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</si>
  <si>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</si>
  <si>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</si>
  <si>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</si>
  <si>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</si>
  <si>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</si>
  <si>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</si>
  <si>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</si>
  <si>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</si>
  <si>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</si>
  <si>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</si>
  <si>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</si>
  <si>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</si>
  <si>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</si>
  <si>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</si>
  <si>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</si>
  <si>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</si>
  <si>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</si>
  <si>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</si>
  <si>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</si>
  <si>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St Croix</t>
  </si>
  <si>
    <t>St John</t>
  </si>
  <si>
    <t>St Thomas</t>
  </si>
  <si>
    <t>Select State First</t>
  </si>
  <si>
    <t>$DB.LOOKUP.RANGE_LOOKUP_COUNTY_PLACEHOLDER</t>
  </si>
  <si>
    <t>COUNTY_PLACEHOLDER</t>
  </si>
  <si>
    <t xml:space="preserve">% Complete (Required Fields) </t>
  </si>
  <si>
    <t>$DB.CONFIG.TBL_CONFIG_WARNINGMSGS::[L|M]</t>
  </si>
  <si>
    <t>WARNINGMSG_ID</t>
  </si>
  <si>
    <t>WARNINGMSG_TEXT</t>
  </si>
  <si>
    <t>SECTION_1_WARNING_COUNT</t>
  </si>
  <si>
    <t>SECTION_1_WARNING_FLAG</t>
  </si>
  <si>
    <t>SECTION_5_WARNING_COUNT</t>
  </si>
  <si>
    <t>SECTION_5_WARNING_FLAG</t>
  </si>
  <si>
    <t>SECTION_4_WARNING_COUNT</t>
  </si>
  <si>
    <t>SECTION_4_WARNING_FLAG</t>
  </si>
  <si>
    <t>SECTION_3_WARNING_COUNT</t>
  </si>
  <si>
    <t>SECTION_3_WARNING_FLAG</t>
  </si>
  <si>
    <t>SECTION_2_WARNING_COUNT</t>
  </si>
  <si>
    <t>SECTION_2_WARNING_FLAG</t>
  </si>
  <si>
    <t>TOTAL_WARNING_COUNT</t>
  </si>
  <si>
    <t>TOTAL_WARNING_FLAG</t>
  </si>
  <si>
    <t>TOTAL_WARNING_FLAG_ICON</t>
  </si>
  <si>
    <t>TOTAL_WARNING_MESSAGE</t>
  </si>
  <si>
    <r>
      <t xml:space="preserve">Telephone </t>
    </r>
    <r>
      <rPr>
        <sz val="8"/>
        <color theme="1"/>
        <rFont val="Calibri"/>
        <family val="2"/>
        <scheme val="minor"/>
      </rPr>
      <t xml:space="preserve"> (Including Area Code)</t>
    </r>
  </si>
  <si>
    <t>WELCOME_LINK_01_TEXT</t>
  </si>
  <si>
    <t>WELCOME_LINK_01_URL</t>
  </si>
  <si>
    <t>WELCOME_LINK_02_URL</t>
  </si>
  <si>
    <t>WELCOME_LINK_02_TEXT</t>
  </si>
  <si>
    <t>WELCOME_LINK_03_URL</t>
  </si>
  <si>
    <t>WELCOME_LINK_03_TEXT</t>
  </si>
  <si>
    <t>WELCOME_LINK_04_URL</t>
  </si>
  <si>
    <t>WELCOME_LINK_04_TEXT</t>
  </si>
  <si>
    <t>WELCOME_LINK_05_URL</t>
  </si>
  <si>
    <t>WELCOME_LINK_05_TEXT</t>
  </si>
  <si>
    <t>WELCOME_LINK_06_URL</t>
  </si>
  <si>
    <t>WELCOME_LINK_06_TEXT</t>
  </si>
  <si>
    <t>Additional Resources (Hyperlinks):</t>
  </si>
  <si>
    <t>Link URL</t>
  </si>
  <si>
    <r>
      <t xml:space="preserve">Display Text </t>
    </r>
    <r>
      <rPr>
        <sz val="11"/>
        <color theme="1"/>
        <rFont val="Calibri"/>
        <family val="2"/>
        <scheme val="minor"/>
      </rPr>
      <t>(Optional)</t>
    </r>
  </si>
  <si>
    <t>Welcome Screen - Link URL - 1</t>
  </si>
  <si>
    <t>Welcome Screen - Link Text - 1</t>
  </si>
  <si>
    <t>Welcome Screen - Link URL - 2</t>
  </si>
  <si>
    <t>Welcome Screen - Link Text - 2</t>
  </si>
  <si>
    <t>Welcome Screen - Link URL - 3</t>
  </si>
  <si>
    <t>Welcome Screen - Link Text - 3</t>
  </si>
  <si>
    <t>Welcome Screen - Link URL - 4</t>
  </si>
  <si>
    <t>Welcome Screen - Link Text - 4</t>
  </si>
  <si>
    <t>Welcome Screen - Link URL - 5</t>
  </si>
  <si>
    <t>Welcome Screen - Link Text - 5</t>
  </si>
  <si>
    <t>Welcome Screen - Link URL - 6</t>
  </si>
  <si>
    <t>Welcome Screen - Link Text - 6</t>
  </si>
  <si>
    <r>
      <t>Note:</t>
    </r>
    <r>
      <rPr>
        <i/>
        <sz val="9"/>
        <color theme="1"/>
        <rFont val="Calibri"/>
        <family val="2"/>
        <scheme val="minor"/>
      </rPr>
      <t xml:space="preserve"> Hyperlink URLs </t>
    </r>
    <r>
      <rPr>
        <i/>
        <u/>
        <sz val="9"/>
        <color theme="1"/>
        <rFont val="Calibri"/>
        <family val="2"/>
        <scheme val="minor"/>
      </rPr>
      <t>must</t>
    </r>
    <r>
      <rPr>
        <i/>
        <sz val="9"/>
        <color theme="1"/>
        <rFont val="Calibri"/>
        <family val="2"/>
        <scheme val="minor"/>
      </rPr>
      <t xml:space="preserve"> include prefix (http://, https://, etc) to function properly</t>
    </r>
  </si>
  <si>
    <t>Census Tract (xxxx.xx)</t>
  </si>
  <si>
    <t>Valid Entry</t>
  </si>
  <si>
    <t>Invalid Entry</t>
  </si>
  <si>
    <t>No Entry Required</t>
  </si>
  <si>
    <t>$DB.LOOKUP.TBL_LOOKUP_EFORM_TYPE::[A|B]</t>
  </si>
  <si>
    <t>RES</t>
  </si>
  <si>
    <t>ADL</t>
  </si>
  <si>
    <t>DSB</t>
  </si>
  <si>
    <t>$DB.LOOKUP.RANGE_LOOKUP_PROPTY_BLDG_TYPE</t>
  </si>
  <si>
    <t>Single Family</t>
  </si>
  <si>
    <t>2-4 Family</t>
  </si>
  <si>
    <t>SingleFamily</t>
  </si>
  <si>
    <t>2to4Family</t>
  </si>
  <si>
    <t>$DB.DATA.TBL_DATA</t>
  </si>
  <si>
    <t>APPLICABLE_EFORM_LIST</t>
  </si>
  <si>
    <t>eForm Type Code</t>
  </si>
  <si>
    <t>EFORM_TYPE_CODE</t>
  </si>
  <si>
    <t>EFORM_ID</t>
  </si>
  <si>
    <t>eForm Unique ID</t>
  </si>
  <si>
    <t>EFORM_TYPE_DESC</t>
  </si>
  <si>
    <t>eForm Type Description</t>
  </si>
  <si>
    <t>WORKFLOW_START_RES</t>
  </si>
  <si>
    <t>WORKFLOW_START_ADL</t>
  </si>
  <si>
    <t>Reservation Workflow - Start Screen</t>
  </si>
  <si>
    <t>Addl. Doc Workflow - Start Screen</t>
  </si>
  <si>
    <t>WORKFLOW_START_DSB</t>
  </si>
  <si>
    <t>Disbursement Workflow - Start Screen</t>
  </si>
  <si>
    <t>PAGE_TITLE_RES</t>
  </si>
  <si>
    <t>Reservation - Page Title</t>
  </si>
  <si>
    <t>PAGE_TITLE_ADL</t>
  </si>
  <si>
    <t>PAGE_TITLE_DSB</t>
  </si>
  <si>
    <t>Additional Documentation - Page Title</t>
  </si>
  <si>
    <t>Disbursement - Page Title</t>
  </si>
  <si>
    <t>DOC_TITLE</t>
  </si>
  <si>
    <t>Document Title</t>
  </si>
  <si>
    <t>GRANT_AMT_MAX</t>
  </si>
  <si>
    <t>Max Grant Amount</t>
  </si>
  <si>
    <t>COUNSEL_AMT_MAX</t>
  </si>
  <si>
    <t>Max Counseling Cost Defrayment Amount</t>
  </si>
  <si>
    <t>eForm Version Number</t>
  </si>
  <si>
    <t>EFORM_TYPE_CODE_NUMERIC</t>
  </si>
  <si>
    <t>EFORM_DOC_ID_NAME</t>
  </si>
  <si>
    <t>eForm Document ID and Name</t>
  </si>
  <si>
    <t>RES,ADL,DSB</t>
  </si>
  <si>
    <t>Based on selected eForm ID and whether field exists on that eForm (APPLICABLE_EFORM_LIST)</t>
  </si>
  <si>
    <t>MEMBER_NAME</t>
  </si>
  <si>
    <t>MEMBER_CONTACT_FIRST_NAME</t>
  </si>
  <si>
    <t>MEMBER_CONTACT_LAST_NAME</t>
  </si>
  <si>
    <t>EFORM_COMPLETE_FLAG</t>
  </si>
  <si>
    <t>eForm Complete Flag</t>
  </si>
  <si>
    <t>eForm Progress - % Complete</t>
  </si>
  <si>
    <t>eForm Progress - Error Count</t>
  </si>
  <si>
    <t>eForm Progress - # Total Fields (OK, Req. + Error)</t>
  </si>
  <si>
    <t>eForm Progress - # Fields Completed (OK Only)</t>
  </si>
  <si>
    <t>MEMBER_CONTACT_EMAIL</t>
  </si>
  <si>
    <t>MEMBER_CONTACT_PHONE</t>
  </si>
  <si>
    <t xml:space="preserve">Member Contact - First Name </t>
  </si>
  <si>
    <t>Member Contact - Last Name</t>
  </si>
  <si>
    <t>Member Contact - Email Address</t>
  </si>
  <si>
    <t>Member Contact - Phone Number</t>
  </si>
  <si>
    <t>FIRST_TIME_HOMEBUYER_FLAG</t>
  </si>
  <si>
    <t>PRIM_BORW_PREFIX</t>
  </si>
  <si>
    <t>PRIM_BORW_FIRST_NAME</t>
  </si>
  <si>
    <t>PRIM_BORW_LAST_NAME</t>
  </si>
  <si>
    <t>PRIM_BORW_MARITAL_STATUS</t>
  </si>
  <si>
    <t>PRIM_BORW_STUDENT_FLAG</t>
  </si>
  <si>
    <t>CO_BORW_PREFIX</t>
  </si>
  <si>
    <t>CO_BORW_FIRST_NAME</t>
  </si>
  <si>
    <t>CO_BORW_LAST_NAME</t>
  </si>
  <si>
    <t>THRD_BORW_PREFIX</t>
  </si>
  <si>
    <t>THRD_BORW_FIRST_NAME</t>
  </si>
  <si>
    <t>CO_BORW_MARITAL_STATUS</t>
  </si>
  <si>
    <t>CO_BORW_STUDENT_FLAG</t>
  </si>
  <si>
    <t>THRD_BORW_MARITAL_STATUS</t>
  </si>
  <si>
    <t>THRD_BORW_STUDENT_FLAG</t>
  </si>
  <si>
    <t>THRD_BORW_LAST_NAME</t>
  </si>
  <si>
    <t>HSEHLD_ADDR</t>
  </si>
  <si>
    <t>HSEHLD_CITY_NAME</t>
  </si>
  <si>
    <t>HSEHLD_STATE_CODE</t>
  </si>
  <si>
    <t>HSEHLD_ZIP_CODE</t>
  </si>
  <si>
    <t>HSEHLD_CNTY_NAME</t>
  </si>
  <si>
    <t>HSEHLD_MSA_CODE</t>
  </si>
  <si>
    <t>HSEHLD_CENSUS_TRACT_CODE</t>
  </si>
  <si>
    <t>Household - First Time Homebuyer Flag</t>
  </si>
  <si>
    <t>Primary Borrower - Prefix (Salutation)</t>
  </si>
  <si>
    <t>Primary Borrower - First Name</t>
  </si>
  <si>
    <t>Primary Borrower - Last Name</t>
  </si>
  <si>
    <t>Co-Borrower - Prefix (Salutation)</t>
  </si>
  <si>
    <t>Co-Borrower - First Name</t>
  </si>
  <si>
    <t>Co-Borrower - Last Name</t>
  </si>
  <si>
    <t>3rd Borrower - Prefix (Salutation)</t>
  </si>
  <si>
    <t>3rd Borrower - First Name</t>
  </si>
  <si>
    <t>3rd Borrower - Last Name</t>
  </si>
  <si>
    <t>Household Address - Street</t>
  </si>
  <si>
    <t>Household Address - City</t>
  </si>
  <si>
    <t>Household Address - State</t>
  </si>
  <si>
    <t>Household Address - Zip Code</t>
  </si>
  <si>
    <t>Household Address - County</t>
  </si>
  <si>
    <t>Household Address - MSA</t>
  </si>
  <si>
    <t>Household Address - Census Tract</t>
  </si>
  <si>
    <t>Primary Borrower - Marital Status</t>
  </si>
  <si>
    <t>Primary Borrower - Student Flag</t>
  </si>
  <si>
    <t>Co-Borrower - Marital Status</t>
  </si>
  <si>
    <t>Co-Borrower - Student Flag</t>
  </si>
  <si>
    <t>3rd Borrower - Marital Status</t>
  </si>
  <si>
    <t>3rd Borrower - Student Flag</t>
  </si>
  <si>
    <t>RESERVATION_DATE</t>
  </si>
  <si>
    <t>GRANT_REQ_AMT</t>
  </si>
  <si>
    <t>COUSEL_DEFRAY_AMT</t>
  </si>
  <si>
    <t>TOTAL_GRANT_REQ_AMT</t>
  </si>
  <si>
    <t>Reservation Request Date</t>
  </si>
  <si>
    <t>Grant Request Amount</t>
  </si>
  <si>
    <t>Counseling Cost Defrayment Amount</t>
  </si>
  <si>
    <t>Total Requested Grant Amount</t>
  </si>
  <si>
    <t>NONPROF_AGCY_NAME</t>
  </si>
  <si>
    <t>PRIMARY_RESIDENCE_FLAG</t>
  </si>
  <si>
    <t>Primary Residence Flag</t>
  </si>
  <si>
    <t>PROPTY_ADDR</t>
  </si>
  <si>
    <t>PROPTY_CITY_NAME</t>
  </si>
  <si>
    <t>PROPTY_STATE_CODE</t>
  </si>
  <si>
    <t>PROPTY_ZIP_CODE</t>
  </si>
  <si>
    <t>PROPTY_CNTY_NAME</t>
  </si>
  <si>
    <t>PROPTY_MSA_CODE</t>
  </si>
  <si>
    <t>PROPTY_CENSUS_TRACT_CODE</t>
  </si>
  <si>
    <t>Property Address - Street</t>
  </si>
  <si>
    <t>Property Address - City</t>
  </si>
  <si>
    <t>Property Address - State</t>
  </si>
  <si>
    <t>Property Address - Zip Code</t>
  </si>
  <si>
    <t>Property Address - County</t>
  </si>
  <si>
    <t>Property Address - MSA</t>
  </si>
  <si>
    <t>Property Address - Census Tract</t>
  </si>
  <si>
    <t>PURCH_PRICE_AMT</t>
  </si>
  <si>
    <t>PROPTY_BLDG_TYPE</t>
  </si>
  <si>
    <t>MANUFACTURED_HOME</t>
  </si>
  <si>
    <t>Manufactured Home Flag</t>
  </si>
  <si>
    <t>PROPTY_BLDG_TYPE_UI</t>
  </si>
  <si>
    <t>Property Type (UI Selection)</t>
  </si>
  <si>
    <t>Property Type (Transformed for FHC DB)</t>
  </si>
  <si>
    <t>ICW_COMPLETE_FLAG</t>
  </si>
  <si>
    <t>ICW Complete Flag (User Clicked)</t>
  </si>
  <si>
    <t>ICW_PASS_FLAG</t>
  </si>
  <si>
    <t>ICW Pass/Fully Complete (Validation Check)</t>
  </si>
  <si>
    <t>INC_GUIDLN_CODE</t>
  </si>
  <si>
    <t>FAMILY_SIZE_NO</t>
  </si>
  <si>
    <t>HSEHLD_INC_AMT</t>
  </si>
  <si>
    <t>MAX_ALLOWABLE_INCOME</t>
  </si>
  <si>
    <t>MRB</t>
  </si>
  <si>
    <t>HSEHLD_INC_PCT_MFI</t>
  </si>
  <si>
    <t>Household Income Percent MFI</t>
  </si>
  <si>
    <t>Household Income Amount</t>
  </si>
  <si>
    <t>Max Allowable Income</t>
  </si>
  <si>
    <t>Family Size</t>
  </si>
  <si>
    <t>Income Guideline Code</t>
  </si>
  <si>
    <t>Additional Resources</t>
  </si>
  <si>
    <t>EFORM_VERSION_NO_MAJ</t>
  </si>
  <si>
    <t xml:space="preserve">eForm Version # (major, dev set) </t>
  </si>
  <si>
    <t>EFORM_VERSION_NO_REV</t>
  </si>
  <si>
    <t>eForm Version # (revision ID, config set)</t>
  </si>
  <si>
    <t>eForm Version # (Consolidated)</t>
  </si>
  <si>
    <t>eForm Last Revision Date</t>
  </si>
  <si>
    <t>Reservation Enrollment Period ID (Current) (Config)</t>
  </si>
  <si>
    <t>Round Maintenance (Reservation Request Submissions)</t>
  </si>
  <si>
    <t>Maximum Counseling Cost Defrayment Amount</t>
  </si>
  <si>
    <t>ENROLL_PERD_ID</t>
  </si>
  <si>
    <t>Current Enrollment Period ID</t>
  </si>
  <si>
    <t>ENROLL_PERD_DESC</t>
  </si>
  <si>
    <t>Current Enrollment Period Description</t>
  </si>
  <si>
    <t>Welcome Screen</t>
  </si>
  <si>
    <t>Area Median Income Limits</t>
  </si>
  <si>
    <t>CNSLNG_COMPLETE_DATE</t>
  </si>
  <si>
    <t>Homeownership Counseling Completion Date</t>
  </si>
  <si>
    <t>FHC_ENROLLED_FLAG</t>
  </si>
  <si>
    <t>FHC Currently Enrolled Flag</t>
  </si>
  <si>
    <t>FHC_ENROLLED_HSEHLD_NO</t>
  </si>
  <si>
    <t>FHC Current Household Number</t>
  </si>
  <si>
    <t>FHA_LETTER_REQ_FLAG</t>
  </si>
  <si>
    <t>FHA Letter Request Flag</t>
  </si>
  <si>
    <t>HEADER_TITLE</t>
  </si>
  <si>
    <t>PAGE_BANNER_PRIMBORROWER</t>
  </si>
  <si>
    <t>PRIM_BORW_FULL_NAME</t>
  </si>
  <si>
    <t>Primary Borrower - Full Name (Once First+Last Populated)</t>
  </si>
  <si>
    <t>Instructions</t>
  </si>
  <si>
    <t>Household Information</t>
  </si>
  <si>
    <t>Grant Summary</t>
  </si>
  <si>
    <t>Purchase Property</t>
  </si>
  <si>
    <t>Household Qualification</t>
  </si>
  <si>
    <t>Co-Borrower</t>
  </si>
  <si>
    <t>First Name</t>
  </si>
  <si>
    <t>Last Name</t>
  </si>
  <si>
    <t>Does the household qualify as a first-time homebuyer?</t>
  </si>
  <si>
    <t>Borrower(s)</t>
  </si>
  <si>
    <t>Primary</t>
  </si>
  <si>
    <t>3rd Borrower</t>
  </si>
  <si>
    <t>Borrower</t>
  </si>
  <si>
    <t>Prefix</t>
  </si>
  <si>
    <t>$DB.LOOKUP.RANGE_LOOKUP_PREFIX</t>
  </si>
  <si>
    <t>Mr.</t>
  </si>
  <si>
    <t>Mrs.</t>
  </si>
  <si>
    <t>Ms.</t>
  </si>
  <si>
    <t>Marital Status</t>
  </si>
  <si>
    <t>$DB.LOOKUP.RANGE_LOOKUP_MARITALSTATUS</t>
  </si>
  <si>
    <t>Married</t>
  </si>
  <si>
    <t>Single</t>
  </si>
  <si>
    <t>Divorced</t>
  </si>
  <si>
    <t>Widowed</t>
  </si>
  <si>
    <t>Separated</t>
  </si>
  <si>
    <t>Current Household Address</t>
  </si>
  <si>
    <r>
      <t xml:space="preserve">Street Address </t>
    </r>
    <r>
      <rPr>
        <i/>
        <sz val="11"/>
        <color theme="1"/>
        <rFont val="Calibri"/>
        <family val="2"/>
        <scheme val="minor"/>
      </rPr>
      <t>(no P.O. Boxes)</t>
    </r>
  </si>
  <si>
    <t>Household requires a Federal Housing Administration ("FHA") Minimum Requirement Investment ("MRI") Letter?</t>
  </si>
  <si>
    <t>Street Address</t>
  </si>
  <si>
    <t>Manufactured Home</t>
  </si>
  <si>
    <t>Property Type</t>
  </si>
  <si>
    <t>Primary Residence</t>
  </si>
  <si>
    <t>Please check the following box once the Income Calculation Worksheet has been completed:</t>
  </si>
  <si>
    <t>Household Income</t>
  </si>
  <si>
    <t>% of MFI</t>
  </si>
  <si>
    <t>Max. Allowable Income</t>
  </si>
  <si>
    <t>Which type of form would you like to submit?</t>
  </si>
  <si>
    <t>MFI_PERCENTAGE</t>
  </si>
  <si>
    <t>MFI Percentage Used (typically 80%)</t>
  </si>
  <si>
    <t>80%</t>
  </si>
  <si>
    <t>New Jersey (MRB)</t>
  </si>
  <si>
    <t>New York (MRB)</t>
  </si>
  <si>
    <t>Puerto Rico (MRB)</t>
  </si>
  <si>
    <t>Virgin Islands (HUD)</t>
  </si>
  <si>
    <t>1-Person</t>
  </si>
  <si>
    <t>2-Person</t>
  </si>
  <si>
    <t>3-Person</t>
  </si>
  <si>
    <t>4-Person</t>
  </si>
  <si>
    <t>5-Person</t>
  </si>
  <si>
    <t>6-Person</t>
  </si>
  <si>
    <t>7-Person</t>
  </si>
  <si>
    <t>8-Person</t>
  </si>
  <si>
    <t>Guideline</t>
  </si>
  <si>
    <t xml:space="preserve">Adjuntas </t>
  </si>
  <si>
    <t xml:space="preserve">Aguada </t>
  </si>
  <si>
    <t xml:space="preserve">Aguadilla </t>
  </si>
  <si>
    <t xml:space="preserve">Aguas Buenas </t>
  </si>
  <si>
    <t xml:space="preserve">Aibonito </t>
  </si>
  <si>
    <t xml:space="preserve">Anasco </t>
  </si>
  <si>
    <t xml:space="preserve">Arecibo </t>
  </si>
  <si>
    <t xml:space="preserve">Arroyo </t>
  </si>
  <si>
    <t xml:space="preserve">Barceloneta </t>
  </si>
  <si>
    <t xml:space="preserve">Barranquitas </t>
  </si>
  <si>
    <t xml:space="preserve">Bayamon </t>
  </si>
  <si>
    <t xml:space="preserve">Cabo Rojo </t>
  </si>
  <si>
    <t xml:space="preserve">Caguas </t>
  </si>
  <si>
    <t xml:space="preserve">Camuy </t>
  </si>
  <si>
    <t xml:space="preserve">Canovanas </t>
  </si>
  <si>
    <t xml:space="preserve">Carolina </t>
  </si>
  <si>
    <t xml:space="preserve">Catano </t>
  </si>
  <si>
    <t xml:space="preserve">Cayey </t>
  </si>
  <si>
    <t xml:space="preserve">Ceiba </t>
  </si>
  <si>
    <t xml:space="preserve">Ciales </t>
  </si>
  <si>
    <t xml:space="preserve">Cidra </t>
  </si>
  <si>
    <t xml:space="preserve">Coamo </t>
  </si>
  <si>
    <t xml:space="preserve">Comerio </t>
  </si>
  <si>
    <t xml:space="preserve">Corozal </t>
  </si>
  <si>
    <t xml:space="preserve">Culebra </t>
  </si>
  <si>
    <t xml:space="preserve">Dorado </t>
  </si>
  <si>
    <t xml:space="preserve">Fajardo </t>
  </si>
  <si>
    <t xml:space="preserve">Florida </t>
  </si>
  <si>
    <t xml:space="preserve">Guanica </t>
  </si>
  <si>
    <t xml:space="preserve">Guayama </t>
  </si>
  <si>
    <t xml:space="preserve">Guayanilla </t>
  </si>
  <si>
    <t xml:space="preserve">Guaynabo </t>
  </si>
  <si>
    <t xml:space="preserve">Gurabo </t>
  </si>
  <si>
    <t xml:space="preserve">Hatillo </t>
  </si>
  <si>
    <t xml:space="preserve">Hormigueros </t>
  </si>
  <si>
    <t xml:space="preserve">Humacao </t>
  </si>
  <si>
    <t xml:space="preserve">Isabela </t>
  </si>
  <si>
    <t xml:space="preserve">Jayuya </t>
  </si>
  <si>
    <t xml:space="preserve">Juana Diaz </t>
  </si>
  <si>
    <t xml:space="preserve">Juncos </t>
  </si>
  <si>
    <t xml:space="preserve">Lajas </t>
  </si>
  <si>
    <t xml:space="preserve">Lares </t>
  </si>
  <si>
    <t xml:space="preserve">Las Marias </t>
  </si>
  <si>
    <t xml:space="preserve">Las Piedras </t>
  </si>
  <si>
    <t xml:space="preserve">Loiza </t>
  </si>
  <si>
    <t xml:space="preserve">Luquillo </t>
  </si>
  <si>
    <t xml:space="preserve">Maricao </t>
  </si>
  <si>
    <t xml:space="preserve">Maunabo </t>
  </si>
  <si>
    <t xml:space="preserve">Mayaguez </t>
  </si>
  <si>
    <t xml:space="preserve">Moca </t>
  </si>
  <si>
    <t xml:space="preserve">Morovis </t>
  </si>
  <si>
    <t xml:space="preserve">Naguabo </t>
  </si>
  <si>
    <t xml:space="preserve">Naranjito </t>
  </si>
  <si>
    <t xml:space="preserve">Orocovis </t>
  </si>
  <si>
    <t xml:space="preserve">Patillas </t>
  </si>
  <si>
    <t xml:space="preserve">Penuelas </t>
  </si>
  <si>
    <t xml:space="preserve">Ponce </t>
  </si>
  <si>
    <t xml:space="preserve">Quebradillas </t>
  </si>
  <si>
    <t xml:space="preserve">Rincon </t>
  </si>
  <si>
    <t xml:space="preserve">Rio Grande </t>
  </si>
  <si>
    <t xml:space="preserve">Sabana Grande </t>
  </si>
  <si>
    <t xml:space="preserve">Salinas </t>
  </si>
  <si>
    <t xml:space="preserve">San German </t>
  </si>
  <si>
    <t xml:space="preserve">San Juan </t>
  </si>
  <si>
    <t xml:space="preserve">San Lorenzo </t>
  </si>
  <si>
    <t xml:space="preserve">San Sebastian </t>
  </si>
  <si>
    <t xml:space="preserve">Santa Isabel </t>
  </si>
  <si>
    <t xml:space="preserve">Toa Alta </t>
  </si>
  <si>
    <t xml:space="preserve">Toa Baja </t>
  </si>
  <si>
    <t xml:space="preserve">Trujillo Alto </t>
  </si>
  <si>
    <t xml:space="preserve">Utuado </t>
  </si>
  <si>
    <t xml:space="preserve">Vega Alta </t>
  </si>
  <si>
    <t xml:space="preserve">Vega Baja </t>
  </si>
  <si>
    <t xml:space="preserve">Vieques </t>
  </si>
  <si>
    <t xml:space="preserve">Villalba </t>
  </si>
  <si>
    <t xml:space="preserve">Yabucoa </t>
  </si>
  <si>
    <t xml:space="preserve">Yauco </t>
  </si>
  <si>
    <t>Area &amp; Guideline Standard</t>
  </si>
  <si>
    <t>Round Description</t>
  </si>
  <si>
    <t>INC_AREA_NAME</t>
  </si>
  <si>
    <t>Income Area Name (Internal Lookup)</t>
  </si>
  <si>
    <t>AMI Data As Of Year</t>
  </si>
  <si>
    <t>ADL_DESCRIPTION</t>
  </si>
  <si>
    <t>Additional Documentation - Description</t>
  </si>
  <si>
    <t>ADL,DSB</t>
  </si>
  <si>
    <t>HSEHLD_NO</t>
  </si>
  <si>
    <t>Household #</t>
  </si>
  <si>
    <t>HSEHLD_BANNER</t>
  </si>
  <si>
    <t>Household Banner</t>
  </si>
  <si>
    <t>Household &amp; Submission Details</t>
  </si>
  <si>
    <t>Household ID</t>
  </si>
  <si>
    <t>Household First Name</t>
  </si>
  <si>
    <t>Household Last Name</t>
  </si>
  <si>
    <t>Documentation Submission Description</t>
  </si>
  <si>
    <t>CHAR_LIMIT_TEMPLATE</t>
  </si>
  <si>
    <t>CHAR_LIMIT_TEMPLATE_ERR</t>
  </si>
  <si>
    <t>Narrative Limit Template</t>
  </si>
  <si>
    <t>[diff] character(s) remaining</t>
  </si>
  <si>
    <t>Narrative Limit Template Error</t>
  </si>
  <si>
    <t>Error: [diff] character(s) over</t>
  </si>
  <si>
    <t>Value Option</t>
  </si>
  <si>
    <t>Format Options</t>
  </si>
  <si>
    <t>options: diff, limit, used</t>
  </si>
  <si>
    <t>[used] of [limit] character(s) used</t>
  </si>
  <si>
    <t>HOUSING_EXP_INC_RATIO</t>
  </si>
  <si>
    <t>TOTAL_DEBT_INC_RATIO</t>
  </si>
  <si>
    <t>LTV</t>
  </si>
  <si>
    <t>HSEHLD_CONTRIBUTION_AMT</t>
  </si>
  <si>
    <t>FIRST_MTG_LOAN_AMT</t>
  </si>
  <si>
    <t>DISBURSEMENT_DATE</t>
  </si>
  <si>
    <t>ORIG_CHARGES_AMT</t>
  </si>
  <si>
    <t>FIRST_MTG_LOAN_RATE</t>
  </si>
  <si>
    <t>FIRST_MTG_LOAN_TERM</t>
  </si>
  <si>
    <t>FIRST_MTG_LOAN_TYPE</t>
  </si>
  <si>
    <t>FIXED_MTG_LOAN_FLAG</t>
  </si>
  <si>
    <t>SECOND_MTG_LOAN_AMT</t>
  </si>
  <si>
    <t>SECOND_MTG_LOAN_RATE</t>
  </si>
  <si>
    <t>SECOND_MTG_LOAN_TERM</t>
  </si>
  <si>
    <t>FIRST_NON_FHLB_GRANT_SRC</t>
  </si>
  <si>
    <t>FIRST_NON_FHLB_GRANT_AMT</t>
  </si>
  <si>
    <t>SECOND_NON_FHLB_GRANT_SRC</t>
  </si>
  <si>
    <t>SECOND_NON_FHLB_GRANT_AMT</t>
  </si>
  <si>
    <t>THIRD_NON_FHLB_GRANT_SRC</t>
  </si>
  <si>
    <t>THIRD_NON_FHLB_GRANT_AMT</t>
  </si>
  <si>
    <t>FOURTH_NON_FHLB_GRANT_SRC</t>
  </si>
  <si>
    <t>FOURTH_NON_FHLB_GRANT_AMT</t>
  </si>
  <si>
    <t>OTHER_FHLB_GRANT_AMT</t>
  </si>
  <si>
    <t>OTHER_FHLB_GRANT_SRC</t>
  </si>
  <si>
    <t>SECOND_MTG_FLAG</t>
  </si>
  <si>
    <t>OTHER_NON_FHLB_GRANT_FLAG</t>
  </si>
  <si>
    <t>OTHER_FHLB_GRANT_FLAG</t>
  </si>
  <si>
    <t>Housing Expense to Income Ratio</t>
  </si>
  <si>
    <t>Total Debt to Income Ratio</t>
  </si>
  <si>
    <t>Household Contribution Amount</t>
  </si>
  <si>
    <t>Origination Charges</t>
  </si>
  <si>
    <t>First Mortgage Loan Amount</t>
  </si>
  <si>
    <t>Fixed or Variable</t>
  </si>
  <si>
    <t>Date of Disbursement (to Borrower) (Closing)</t>
  </si>
  <si>
    <t>First Mortgage Fixed Flag</t>
  </si>
  <si>
    <t>$DB.LOOKUP.RANGE_LOOKUP_MTG_TYPE</t>
  </si>
  <si>
    <t>Second Mortgage Flag</t>
  </si>
  <si>
    <t>Second Mortgage Loan Amount</t>
  </si>
  <si>
    <t>First Mortgage APR</t>
  </si>
  <si>
    <t>First Mortgage Term (Months)</t>
  </si>
  <si>
    <t>Other Non-FHLBNY Grant Flag</t>
  </si>
  <si>
    <t>Other FHLBNY Grant Flag</t>
  </si>
  <si>
    <t>Name of Grant or Secondary Financing - Other FHLB Grant</t>
  </si>
  <si>
    <t>Grant Amount</t>
  </si>
  <si>
    <t>Second Mortgage APR</t>
  </si>
  <si>
    <t>Second Mortgage Term (Months)</t>
  </si>
  <si>
    <t>First Non FHLB Grant - Source</t>
  </si>
  <si>
    <t>First Non FHLB Grant - Amount</t>
  </si>
  <si>
    <t>Second Non FHLB Grant - Source</t>
  </si>
  <si>
    <t>Second Non FHLB Grant - Amount</t>
  </si>
  <si>
    <t>Third Non FHLB Grant - Source</t>
  </si>
  <si>
    <t>Third Non FHLB Grant - Amount</t>
  </si>
  <si>
    <t>Fourth Non FHLB Grant - Source</t>
  </si>
  <si>
    <t>Fourth Non FHLB Grant - Amount</t>
  </si>
  <si>
    <t>SECTION_5_WARNING_01</t>
  </si>
  <si>
    <t>warning(s) in form; please review and address issues as necessary</t>
  </si>
  <si>
    <t>Mortgage Information</t>
  </si>
  <si>
    <t>Other Grants</t>
  </si>
  <si>
    <t>First Mortgage</t>
  </si>
  <si>
    <t>Date of Disbursement</t>
  </si>
  <si>
    <t>Amount</t>
  </si>
  <si>
    <t>APR</t>
  </si>
  <si>
    <t>Term (Months)</t>
  </si>
  <si>
    <t>Type</t>
  </si>
  <si>
    <t>Second Mortgage</t>
  </si>
  <si>
    <t>Name of Grant</t>
  </si>
  <si>
    <r>
      <t xml:space="preserve">Are there any other </t>
    </r>
    <r>
      <rPr>
        <u/>
        <sz val="11"/>
        <color theme="1"/>
        <rFont val="Calibri"/>
        <family val="2"/>
        <scheme val="minor"/>
      </rPr>
      <t>Non-FHLBNY grants</t>
    </r>
    <r>
      <rPr>
        <sz val="11"/>
        <color theme="1"/>
        <rFont val="Calibri"/>
        <family val="2"/>
        <scheme val="minor"/>
      </rPr>
      <t xml:space="preserve"> in the transaction?</t>
    </r>
  </si>
  <si>
    <t>Is there another FHLBNY grant in the transaction?</t>
  </si>
  <si>
    <t>Is there a second mortgage in the transaction?</t>
  </si>
  <si>
    <t>COUNSEL_DATE_AGE_MAX</t>
  </si>
  <si>
    <t>Responses In This Section Do Not Meet Eligibility Requirements</t>
  </si>
  <si>
    <t>$DB.LOOKUP.RANGE_LOOKUP_STATE_ALLSTATES</t>
  </si>
  <si>
    <t>RES,DSB</t>
  </si>
  <si>
    <t>Counseling Completion Date - Max. Allowable Age (in years, prior to reservation submission date)</t>
  </si>
  <si>
    <t>Maximum Age for Counseling Completion (in years, prior to reservation submission)</t>
  </si>
  <si>
    <t>Homeownership Counseling</t>
  </si>
  <si>
    <t>Counseling Completion Date</t>
  </si>
  <si>
    <t>AGENCY_NAME</t>
  </si>
  <si>
    <t>Abyssinian Develop. Corp.</t>
  </si>
  <si>
    <t>Affordable Housing Alliance</t>
  </si>
  <si>
    <t>AHP</t>
  </si>
  <si>
    <t>AHOME, Inc.</t>
  </si>
  <si>
    <t>ACRHA</t>
  </si>
  <si>
    <t>Albany Housing Partnership</t>
  </si>
  <si>
    <t>Alternatives Venture Fund</t>
  </si>
  <si>
    <t xml:space="preserve">Arbor Housing </t>
  </si>
  <si>
    <t>AAFE</t>
  </si>
  <si>
    <t>Bergen County American Dream</t>
  </si>
  <si>
    <t>BCHC</t>
  </si>
  <si>
    <t xml:space="preserve">Better Housing for Tompkins County </t>
  </si>
  <si>
    <t>BNI</t>
  </si>
  <si>
    <t>Bishop Sheen Ecumenical Housing Foundation</t>
  </si>
  <si>
    <t>Buffalo Urban League</t>
  </si>
  <si>
    <t>BCCAP</t>
  </si>
  <si>
    <t>CC of the Southern Tier</t>
  </si>
  <si>
    <t>CCNDV/ CVSHOC</t>
  </si>
  <si>
    <t>CJHRC</t>
  </si>
  <si>
    <t>CHRIC, Inc.</t>
  </si>
  <si>
    <t>Chautauqua Opportunities Inc.</t>
  </si>
  <si>
    <t>CHHAYA CDC</t>
  </si>
  <si>
    <t>Clearpoint CCS</t>
  </si>
  <si>
    <t>PRAB, Inc.</t>
  </si>
  <si>
    <t>CASH</t>
  </si>
  <si>
    <t>CDC of LI</t>
  </si>
  <si>
    <t>Community Housing Innovations</t>
  </si>
  <si>
    <t>CCBC</t>
  </si>
  <si>
    <t>CCCSBuffalo</t>
  </si>
  <si>
    <t>CCCSNJ</t>
  </si>
  <si>
    <t>CCCSPR</t>
  </si>
  <si>
    <t>CCCSRochester</t>
  </si>
  <si>
    <t>CCCS, a division of MMI</t>
  </si>
  <si>
    <t>Cornell Cooperative Extension Orange County</t>
  </si>
  <si>
    <t>Cornell Cooperative Extension Sullivan County</t>
  </si>
  <si>
    <t>CHAC</t>
  </si>
  <si>
    <t>Cypress Hills Local DC</t>
  </si>
  <si>
    <t>EOC of Suffolk, Inc.</t>
  </si>
  <si>
    <t>FHC</t>
  </si>
  <si>
    <t>Faith Fellowship CDC</t>
  </si>
  <si>
    <t>Genesee Valley Rural Preservation Council, Inc.</t>
  </si>
  <si>
    <t>GMI</t>
  </si>
  <si>
    <t xml:space="preserve">HASCO </t>
  </si>
  <si>
    <t>HCCI</t>
  </si>
  <si>
    <t>HOGAR, Inc.</t>
  </si>
  <si>
    <t xml:space="preserve">Holly City Development Corporation </t>
  </si>
  <si>
    <t>Home Headquarters Inc.</t>
  </si>
  <si>
    <t>Homefront Inc.</t>
  </si>
  <si>
    <t>UNHS Neighborworks</t>
  </si>
  <si>
    <t>HAC</t>
  </si>
  <si>
    <t>HAP of Essex County</t>
  </si>
  <si>
    <t>HCCJ</t>
  </si>
  <si>
    <t>HDF</t>
  </si>
  <si>
    <t xml:space="preserve">Housing Help, Inc. </t>
  </si>
  <si>
    <t>HP for Morris County</t>
  </si>
  <si>
    <t>Neighborworks HC</t>
  </si>
  <si>
    <t>HRCC</t>
  </si>
  <si>
    <t>Hudson River Housing, Inc.</t>
  </si>
  <si>
    <t>Hunter Foundation, Inc.</t>
  </si>
  <si>
    <t>Ibero- American Develop. Corp.</t>
  </si>
  <si>
    <t>Ithaca NHS</t>
  </si>
  <si>
    <t>Keuka Housing Council, Inc.</t>
  </si>
  <si>
    <t>Kiryas Joel CHD</t>
  </si>
  <si>
    <t>Lackawanna HDC</t>
  </si>
  <si>
    <t>LI Housing Partnership</t>
  </si>
  <si>
    <t>Margert CC</t>
  </si>
  <si>
    <t>MHA</t>
  </si>
  <si>
    <t>Metro Interfaith HMC</t>
  </si>
  <si>
    <t>MMI</t>
  </si>
  <si>
    <t>Nassau County, OHIA</t>
  </si>
  <si>
    <t>NHS of SI</t>
  </si>
  <si>
    <t>NHS of Bedford-Stuyvesant</t>
  </si>
  <si>
    <t>NHS of Camden</t>
  </si>
  <si>
    <t>NHS of East Flatbush/Richmond Hill</t>
  </si>
  <si>
    <t>NHS of Jamaica</t>
  </si>
  <si>
    <t>NHS of NYC</t>
  </si>
  <si>
    <t>NHS of North Bronx</t>
  </si>
  <si>
    <t>NHS of Northern Queens</t>
  </si>
  <si>
    <t>NHS of South Bronx</t>
  </si>
  <si>
    <t>NHS of South Buffalo</t>
  </si>
  <si>
    <t>NHN</t>
  </si>
  <si>
    <t>NW, Inc.</t>
  </si>
  <si>
    <t>Neighborworks Roc</t>
  </si>
  <si>
    <t>Niagara Falls NHS</t>
  </si>
  <si>
    <t>NJ Citizen Action</t>
  </si>
  <si>
    <t>Northfield Community LDC</t>
  </si>
  <si>
    <t>OCEAN Inc.</t>
  </si>
  <si>
    <t>OCRDAC</t>
  </si>
  <si>
    <t>Oswego HDC</t>
  </si>
  <si>
    <t>Pathstone Corp. - CEDD</t>
  </si>
  <si>
    <t>Pathstone Corp.-Genesee</t>
  </si>
  <si>
    <t>Pathstone Corp.-Ontario</t>
  </si>
  <si>
    <t>Pathstone Corp.-Orleans</t>
  </si>
  <si>
    <t>Pathstone Corp.-Wayne</t>
  </si>
  <si>
    <t>Pathstone Corp.-Wyoming</t>
  </si>
  <si>
    <t>Pathstone Corp- PR</t>
  </si>
  <si>
    <t>Ponce NHS</t>
  </si>
  <si>
    <t>PACC</t>
  </si>
  <si>
    <t>Providence Housing Dev. Corp.</t>
  </si>
  <si>
    <t>Putnam County HC</t>
  </si>
  <si>
    <t>Quaranta Homeownership  Ctr of OFC.</t>
  </si>
  <si>
    <t>Quaranta HS</t>
  </si>
  <si>
    <t>RUPCO</t>
  </si>
  <si>
    <t>San Juan NHS</t>
  </si>
  <si>
    <t>Seneca Housing Inc.</t>
  </si>
  <si>
    <t>Southern Hills Preservation Corp.</t>
  </si>
  <si>
    <t>The Housing Council  at Pathstone</t>
  </si>
  <si>
    <t>SALOC</t>
  </si>
  <si>
    <t>TRIP Neighborworks</t>
  </si>
  <si>
    <t>TRIP, Inc.</t>
  </si>
  <si>
    <t>Urban League of Roc</t>
  </si>
  <si>
    <t>West Side NHS</t>
  </si>
  <si>
    <t>Westchester ROI</t>
  </si>
  <si>
    <t>THA-Perth Amboy</t>
  </si>
  <si>
    <t>OSHA</t>
  </si>
  <si>
    <t>HPDC</t>
  </si>
  <si>
    <t>Neighbors of Watertown, Inc.</t>
  </si>
  <si>
    <t>Cooperative Federal</t>
  </si>
  <si>
    <t>Catholic Charities</t>
  </si>
  <si>
    <t>Vincere Group, Inc.</t>
  </si>
  <si>
    <t>Pathstone Corporation</t>
  </si>
  <si>
    <t>La Casa De Don Pedro</t>
  </si>
  <si>
    <t>HomeOwnership Centers at Home Headquarters</t>
  </si>
  <si>
    <t>Central Jersey Housing Resource Center</t>
  </si>
  <si>
    <t>HOMECORP</t>
  </si>
  <si>
    <t>Community Action Partnership</t>
  </si>
  <si>
    <t>RHAC</t>
  </si>
  <si>
    <t>Green Path Inc.</t>
  </si>
  <si>
    <t>HomeOwnership Centers</t>
  </si>
  <si>
    <t>Money Management International</t>
  </si>
  <si>
    <t>DMCC</t>
  </si>
  <si>
    <t>Bronx Neighborhood Housing and Services CDC</t>
  </si>
  <si>
    <t>Brooklyn Neighborhood Services</t>
  </si>
  <si>
    <t>Financial Wellness Intitute</t>
  </si>
  <si>
    <t>$DB.LOOKUP.RANGE_LOOKUP_COUNSELING_AGENCIES</t>
  </si>
  <si>
    <t>NONPROF_AGCY_NAME_SELECT</t>
  </si>
  <si>
    <t>NONPROF_AGCY_NAME_OTHER</t>
  </si>
  <si>
    <t>Counseling Agency - Selection (Dropdown)</t>
  </si>
  <si>
    <t>Counseling Agency - Other (if 'Other' Selected)</t>
  </si>
  <si>
    <t>Counseling Agency (Logic, Selection or Other)</t>
  </si>
  <si>
    <t>Other</t>
  </si>
  <si>
    <t>If 'Other' selected, type in Counseling Agency name:</t>
  </si>
  <si>
    <r>
      <t>Counseling Agency</t>
    </r>
    <r>
      <rPr>
        <i/>
        <sz val="10"/>
        <color theme="1"/>
        <rFont val="Calibri"/>
        <family val="2"/>
        <scheme val="minor"/>
      </rPr>
      <t xml:space="preserve"> (If Agency is not in list, select 'Other' and define below)</t>
    </r>
  </si>
  <si>
    <t>Other (Please Describe)</t>
  </si>
  <si>
    <t>Child #4</t>
  </si>
  <si>
    <t>Disability</t>
  </si>
  <si>
    <t>Bi-Monthly</t>
  </si>
  <si>
    <t>Child #3</t>
  </si>
  <si>
    <t>Public Assistance</t>
  </si>
  <si>
    <t>Unemployment</t>
  </si>
  <si>
    <t>Monthly</t>
  </si>
  <si>
    <t>Child #2</t>
  </si>
  <si>
    <t>Pension</t>
  </si>
  <si>
    <t>Dividends</t>
  </si>
  <si>
    <t>Bi-Weekly</t>
  </si>
  <si>
    <t>Child #1</t>
  </si>
  <si>
    <t>Social Security</t>
  </si>
  <si>
    <t>Interest</t>
  </si>
  <si>
    <t>Weekly</t>
  </si>
  <si>
    <t>DEPENDENT_NAME</t>
  </si>
  <si>
    <t>SECTE_INCOMESOURCE</t>
  </si>
  <si>
    <t>SECTD_INCOMESOURCE</t>
  </si>
  <si>
    <t>PYMTS_PER_YEAR</t>
  </si>
  <si>
    <t>CHILDSUPPORT_PYMT_FREQ</t>
  </si>
  <si>
    <t>PAYSTUBS_PER_YEAR</t>
  </si>
  <si>
    <t>$DB.LOOKUP.RANGE_LOOKUP_DEPENDENTS</t>
  </si>
  <si>
    <t>$DB.LOOKUP.RANGE_LOOKUP_SECTE_INCOMESOURCE</t>
  </si>
  <si>
    <t>$DB.LOOKUP.RANGE_LOOKUP_SECTD_INCOMESOURCE</t>
  </si>
  <si>
    <t>$DB.LOOKUP.RANGE_LOOKUP_CHILDSUPPORT_FREQ</t>
  </si>
  <si>
    <t>$DB.LOOKUP.RANGE_LOOKUP_ANNUAL_PAYSTUBS</t>
  </si>
  <si>
    <t>Applicant Name</t>
  </si>
  <si>
    <t>Section G - Zero-Income Earning Adults</t>
  </si>
  <si>
    <t>Section F, Total Income</t>
  </si>
  <si>
    <t>Annual Net Income</t>
  </si>
  <si>
    <t>Net Monthly Rental Income</t>
  </si>
  <si>
    <t>Gross Monthly Rental Income</t>
  </si>
  <si>
    <t>Instructions / Documentation</t>
  </si>
  <si>
    <t>Section F - Rental Income</t>
  </si>
  <si>
    <t>Section E, Total Income</t>
  </si>
  <si>
    <t>Annual Income</t>
  </si>
  <si>
    <t>Income Source</t>
  </si>
  <si>
    <t>Section E- Seasonal Employment, Unemployment, and Miscellaneous Income</t>
  </si>
  <si>
    <t>Section D, Total Income</t>
  </si>
  <si>
    <t>Payment Amount</t>
  </si>
  <si>
    <t>Payment Frequency</t>
  </si>
  <si>
    <r>
      <t xml:space="preserve">Dependents </t>
    </r>
    <r>
      <rPr>
        <sz val="10"/>
        <color theme="1"/>
        <rFont val="Calibri"/>
        <family val="2"/>
        <scheme val="minor"/>
      </rPr>
      <t>(select from dropdown)</t>
    </r>
  </si>
  <si>
    <t>Section D - Child Support</t>
  </si>
  <si>
    <t>Section C, Total Income</t>
  </si>
  <si>
    <t xml:space="preserve"> Net Income</t>
  </si>
  <si>
    <t># Months</t>
  </si>
  <si>
    <t>Business Name</t>
  </si>
  <si>
    <t>Section C - Self-Employment Income</t>
  </si>
  <si>
    <t>Section B, Total Income</t>
  </si>
  <si>
    <t>Source</t>
  </si>
  <si>
    <t>Section B - Social Security, Pension, Public Assistance and Disability Income</t>
  </si>
  <si>
    <t>Section A, Total Variable/Bonus Income</t>
  </si>
  <si>
    <t>End of Pay Period</t>
  </si>
  <si>
    <t>Employer</t>
  </si>
  <si>
    <r>
      <rPr>
        <b/>
        <u/>
        <sz val="10"/>
        <color theme="1"/>
        <rFont val="Calibri"/>
        <family val="2"/>
        <scheme val="minor"/>
      </rPr>
      <t>Variable/Bonus Income</t>
    </r>
    <r>
      <rPr>
        <b/>
        <sz val="10"/>
        <color theme="1"/>
        <rFont val="Calibri"/>
        <family val="2"/>
        <scheme val="minor"/>
      </rPr>
      <t xml:space="preserve"> - Instructions / Documentation</t>
    </r>
  </si>
  <si>
    <r>
      <t>Section A, Total Consistent Income</t>
    </r>
    <r>
      <rPr>
        <sz val="10"/>
        <rFont val="Calibri"/>
        <family val="2"/>
        <scheme val="minor"/>
      </rPr>
      <t xml:space="preserve"> (Employment Letter)</t>
    </r>
  </si>
  <si>
    <t>Letter Date</t>
  </si>
  <si>
    <t>Consistent Income (Employment Letter/Contract/VOE)</t>
  </si>
  <si>
    <r>
      <t>Section A, Total Consistent Income</t>
    </r>
    <r>
      <rPr>
        <sz val="10"/>
        <rFont val="Calibri"/>
        <family val="2"/>
        <scheme val="minor"/>
      </rPr>
      <t xml:space="preserve"> (Paystubs / Verification of Employment Form)</t>
    </r>
  </si>
  <si>
    <t>Gross Pay Amount:</t>
  </si>
  <si>
    <t>Paystub #4</t>
  </si>
  <si>
    <t>Paystub #3</t>
  </si>
  <si>
    <t>Paystub #2</t>
  </si>
  <si>
    <t>Paystub #1</t>
  </si>
  <si>
    <t>30-Day Paystub History:</t>
  </si>
  <si>
    <t>YTD Pay Rate</t>
  </si>
  <si>
    <t>YTD Paystubs</t>
  </si>
  <si>
    <t>YTD Gross Income</t>
  </si>
  <si>
    <t>30-Day Avg. Pay</t>
  </si>
  <si>
    <t>Paystubs / Year</t>
  </si>
  <si>
    <t>Start Date</t>
  </si>
  <si>
    <t>30-Day Paystub History</t>
  </si>
  <si>
    <r>
      <rPr>
        <b/>
        <u/>
        <sz val="10"/>
        <color theme="1"/>
        <rFont val="Calibri"/>
        <family val="2"/>
        <scheme val="minor"/>
      </rPr>
      <t>Consistent Income (Paystubs / Verification of Employment Form)</t>
    </r>
    <r>
      <rPr>
        <b/>
        <sz val="10"/>
        <color theme="1"/>
        <rFont val="Calibri"/>
        <family val="2"/>
        <scheme val="minor"/>
      </rPr>
      <t xml:space="preserve"> - Instructions / Documentation</t>
    </r>
  </si>
  <si>
    <t>Section A - Employment Income</t>
  </si>
  <si>
    <t>FHLBNY Member Name</t>
  </si>
  <si>
    <r>
      <t>Total Income</t>
    </r>
    <r>
      <rPr>
        <b/>
        <vertAlign val="superscript"/>
        <sz val="10"/>
        <color theme="1"/>
        <rFont val="Calibri"/>
        <family val="2"/>
        <scheme val="minor"/>
      </rPr>
      <t>(2)</t>
    </r>
  </si>
  <si>
    <t>Household Size</t>
  </si>
  <si>
    <t># Children</t>
  </si>
  <si>
    <r>
      <t># Adults</t>
    </r>
    <r>
      <rPr>
        <b/>
        <vertAlign val="superscript"/>
        <sz val="10"/>
        <color theme="1"/>
        <rFont val="Calibri"/>
        <family val="2"/>
        <scheme val="minor"/>
      </rPr>
      <t>(1)</t>
    </r>
  </si>
  <si>
    <r>
      <t xml:space="preserve">Address </t>
    </r>
    <r>
      <rPr>
        <sz val="10"/>
        <color theme="1"/>
        <rFont val="Calibri"/>
        <family val="2"/>
        <scheme val="minor"/>
      </rPr>
      <t>(Street Address, City, State &amp; Zip Code)</t>
    </r>
  </si>
  <si>
    <t>Household Name</t>
  </si>
  <si>
    <t>Household Summary</t>
  </si>
  <si>
    <t>Income Calculation Worksheet</t>
  </si>
  <si>
    <t>SUPPORTS ICW / HEADER</t>
  </si>
  <si>
    <t>SA_PROGRAM_NAME</t>
  </si>
  <si>
    <t>Program Name</t>
  </si>
  <si>
    <t>DOC_ID</t>
  </si>
  <si>
    <t>Document ID</t>
  </si>
  <si>
    <t>CO_BORW_STARTED_FLAG</t>
  </si>
  <si>
    <t>Co-Borrower - Any Field on Row Started/Populated</t>
  </si>
  <si>
    <t>THRD_BORW_STARTED_FLAG</t>
  </si>
  <si>
    <t>SECTION_2_WARNING_01</t>
  </si>
  <si>
    <t>Maximum Requested Grant Amount</t>
  </si>
  <si>
    <t>Document &amp; Version Maintenance</t>
  </si>
  <si>
    <t>Minimum Household Contribution Amount</t>
  </si>
  <si>
    <t>MIN_HOUSEHOLD_CONTRIB_AMT</t>
  </si>
  <si>
    <t>SECTION_4_WARNING_01</t>
  </si>
  <si>
    <t>Maximum Loan to Value Ratio</t>
  </si>
  <si>
    <t>Maximum Housing Expense/Income Ratio</t>
  </si>
  <si>
    <t>Maximum Total Debt/Income Ratio</t>
  </si>
  <si>
    <t>MAX_LTV_RATIO</t>
  </si>
  <si>
    <t>MAX_DTI_FE_RATIO</t>
  </si>
  <si>
    <t>MAX_DTI_BE_RATIO</t>
  </si>
  <si>
    <t>Maximum LTV Ratio</t>
  </si>
  <si>
    <t>Maximum Front End Ratio</t>
  </si>
  <si>
    <t>Maximum Back End Ratio</t>
  </si>
  <si>
    <t>SECTION_4_WARNING_02</t>
  </si>
  <si>
    <t>SECTION_4_WARNING_03</t>
  </si>
  <si>
    <t>SECTION_4_WARNING_04</t>
  </si>
  <si>
    <t>Minimum Household ID Allowed (Current Program / Additional Documentation &amp; Drawdown Forms)</t>
  </si>
  <si>
    <t>Minimum Household ID Allowed (Legacy Program / Reservation Request Form)</t>
  </si>
  <si>
    <t>MIN_HOUSEHOLD_ID_LEGACY</t>
  </si>
  <si>
    <t>MIN_HOUSEHOLD_ID_CURR</t>
  </si>
  <si>
    <t>Minimum Household ID (Current Program)</t>
  </si>
  <si>
    <t>Minimum Household ID (Legacy Program)</t>
  </si>
  <si>
    <t>Federal Home Loan Bank of New York Member</t>
  </si>
  <si>
    <t>FHLBNY Member</t>
  </si>
  <si>
    <t>TARGET_RES_1</t>
  </si>
  <si>
    <t>TARGET_ADL_1</t>
  </si>
  <si>
    <t>TARGET_DSB_1</t>
  </si>
  <si>
    <t>PROPTY_ADDRESS_UNIFIED</t>
  </si>
  <si>
    <t>Property Address - Unified (for ICW Display)</t>
  </si>
  <si>
    <t>Funding Request</t>
  </si>
  <si>
    <t>DTI_THRESH_AFFORDABILITY</t>
  </si>
  <si>
    <t>Affordability DTI Threshold</t>
  </si>
  <si>
    <t>Explanation of Affordability - Total Debt/Income Ratio Treshold</t>
  </si>
  <si>
    <t>EXPLANATION_OF_AFFORDABILITY</t>
  </si>
  <si>
    <t>Explanation of Affordability</t>
  </si>
  <si>
    <t>(1) Household members 18 years of age or older.
(2) Income documentations must be provided from a third party and is itemized in each section of the worksheet.</t>
  </si>
  <si>
    <t>New Household Reservation Request</t>
  </si>
  <si>
    <t xml:space="preserve">Other Documentation Request </t>
  </si>
  <si>
    <t>ADL_ICW_FLAG</t>
  </si>
  <si>
    <t>ADL_ICW_COMPLETION_DATE</t>
  </si>
  <si>
    <t>Additional Documentation - ICW Included Flag</t>
  </si>
  <si>
    <t>Additional Documentation - ICW Completion Date</t>
  </si>
  <si>
    <t>RES,ADL</t>
  </si>
  <si>
    <r>
      <rPr>
        <b/>
        <sz val="11"/>
        <color theme="1"/>
        <rFont val="Calibri"/>
        <family val="2"/>
        <scheme val="minor"/>
      </rPr>
      <t>Purchase Property</t>
    </r>
    <r>
      <rPr>
        <sz val="11"/>
        <color theme="1"/>
        <rFont val="Calibri"/>
        <family val="2"/>
        <scheme val="minor"/>
      </rPr>
      <t xml:space="preserve"> Street Address</t>
    </r>
  </si>
  <si>
    <t>FHA MRI Letter</t>
  </si>
  <si>
    <t>ICW Completion Date</t>
  </si>
  <si>
    <r>
      <t>If Yes</t>
    </r>
    <r>
      <rPr>
        <sz val="11"/>
        <color theme="1"/>
        <rFont val="Calibri"/>
        <family val="2"/>
        <scheme val="minor"/>
      </rPr>
      <t>, please complete all of the required fields below and use the link below to access and complete the Income Calculation Worksheet:</t>
    </r>
  </si>
  <si>
    <t>FORM_LINK_HREF</t>
  </si>
  <si>
    <t>FORM_LINK_NAME</t>
  </si>
  <si>
    <t>{DELETED}</t>
  </si>
  <si>
    <t>MEMBER_CONTACT_NAME</t>
  </si>
  <si>
    <t>Member Contact - Full Name</t>
  </si>
  <si>
    <t>MEMBER_CONTACT_TITLE</t>
  </si>
  <si>
    <t>MEMBER_CERTIFICATION_DATE</t>
  </si>
  <si>
    <t>Member Contact - Title</t>
  </si>
  <si>
    <t>Member Contact - Certification Date</t>
  </si>
  <si>
    <t>SECTION_6</t>
  </si>
  <si>
    <t>Member Certification</t>
  </si>
  <si>
    <t>SECTION_6_RANGE</t>
  </si>
  <si>
    <t>SECTION_6_DONE_COUNT</t>
  </si>
  <si>
    <t>SECTION_6_TOTAL_COUNT</t>
  </si>
  <si>
    <t>SECTION_6_ERROR_COUNT</t>
  </si>
  <si>
    <t>SECTION_6_PROGRESS_PERCENT</t>
  </si>
  <si>
    <t>SECTION_6_STATUS_TEXT</t>
  </si>
  <si>
    <t>SECTION_6_STATUS_CODE</t>
  </si>
  <si>
    <t>SECTION_6_TOC_LABEL</t>
  </si>
  <si>
    <t>SECTION_6_WARNING_COUNT</t>
  </si>
  <si>
    <t>SECTION_6_WARNING_FLAG</t>
  </si>
  <si>
    <t>Authorized Member Representative Name</t>
  </si>
  <si>
    <t>Title</t>
  </si>
  <si>
    <t>Homebuyer Dream Program</t>
  </si>
  <si>
    <r>
      <t xml:space="preserve">Note that once you've started the request form, you </t>
    </r>
    <r>
      <rPr>
        <b/>
        <i/>
        <sz val="11"/>
        <color rgb="FFFF0000"/>
        <rFont val="Calibri"/>
        <family val="2"/>
        <scheme val="minor"/>
      </rPr>
      <t>will not</t>
    </r>
    <r>
      <rPr>
        <i/>
        <sz val="11"/>
        <rFont val="Calibri"/>
        <family val="2"/>
        <scheme val="minor"/>
      </rPr>
      <t xml:space="preserve"> be able to change the form type; please ensure the correct type is selected before proceeding.
</t>
    </r>
  </si>
  <si>
    <t>County / Municipio</t>
  </si>
  <si>
    <t>Fixed Rate</t>
  </si>
  <si>
    <t>Variable Rate</t>
  </si>
  <si>
    <t>Field Symbol Legend</t>
  </si>
  <si>
    <t>An Income Calculation Worksheet must also be completed as part of this request.  Please use the following link to access and complete the Income Calculation Worksheet:</t>
  </si>
  <si>
    <t>Does an Income Calculation Worksheet also need to be completed as part of this request?</t>
  </si>
  <si>
    <t>FHC_PROG_ID</t>
  </si>
  <si>
    <t>FHC Program ID</t>
  </si>
  <si>
    <r>
      <t xml:space="preserve">Complete form in MS Excel format, containing the .xlsx file extension in its entirety.
Cells shaded yellow are required fields.
Submit form with required documentation (in PDF format) to FHLBNY via the Online Portal as one Zip file per household.
Refer to the </t>
    </r>
    <r>
      <rPr>
        <i/>
        <sz val="10"/>
        <color theme="1"/>
        <rFont val="Calibri"/>
        <family val="2"/>
        <scheme val="minor"/>
      </rPr>
      <t>Homebuyer Dream Program Guidelines</t>
    </r>
    <r>
      <rPr>
        <sz val="10"/>
        <color theme="1"/>
        <rFont val="Calibri"/>
        <family val="2"/>
        <scheme val="minor"/>
      </rPr>
      <t xml:space="preserve"> for additional details including a list of required supplemental documentation.</t>
    </r>
  </si>
  <si>
    <r>
      <t xml:space="preserve">Complete form in MS Excel format, containing the .xlsx file extension in its entirety.  
Cells shaded yellow are required fields.
Submit form with required documentation (in PDF format) to FHLBNY via the Online Portal as one Zip file per household.
Refer to the </t>
    </r>
    <r>
      <rPr>
        <i/>
        <sz val="10"/>
        <color theme="1"/>
        <rFont val="Calibri"/>
        <family val="2"/>
        <scheme val="minor"/>
      </rPr>
      <t>Homebuyer Dream Program Guidelines</t>
    </r>
    <r>
      <rPr>
        <sz val="10"/>
        <color theme="1"/>
        <rFont val="Calibri"/>
        <family val="2"/>
        <scheme val="minor"/>
      </rPr>
      <t xml:space="preserve"> for additional details including a list of required supplemental documentation.</t>
    </r>
  </si>
  <si>
    <t>ICW_ZEROINCOME_DOC_ID</t>
  </si>
  <si>
    <t>ICW Zero Income Cert Document ID</t>
  </si>
  <si>
    <t>ICW Zero Income Ceritification Document Reference</t>
  </si>
  <si>
    <t>http://www.fhlbny.com/hdp</t>
  </si>
  <si>
    <t>FHLBNY Homebuyer Dream Program (HDP) Webpage</t>
  </si>
  <si>
    <t>HDP-005</t>
  </si>
  <si>
    <t>TRADEMARK_ID</t>
  </si>
  <si>
    <t>Trademark ID (Unicode)</t>
  </si>
  <si>
    <t>AHP/HDP-001</t>
  </si>
  <si>
    <t>REMOVED FOR 2020 ROUND (NOV 2019)</t>
  </si>
  <si>
    <t>Co-op</t>
  </si>
  <si>
    <t>®</t>
  </si>
  <si>
    <t>PROPTY_CNTY_CODE</t>
  </si>
  <si>
    <t>Property Address - County Code</t>
  </si>
  <si>
    <t>RELEASE 1A (2021 EFORM) - ADDED FIELD</t>
  </si>
  <si>
    <t>County Code</t>
  </si>
  <si>
    <t>REMOVED FOR 2022 ROUND (NOV 2021)</t>
  </si>
  <si>
    <t>FRAMEWORK</t>
  </si>
  <si>
    <t>(“Member”) hereby confirms that it has been informed of the requirements of the Federal Home Loan Bank of New York (“FHLBNY”) Homebuyer Dream Program® (“HDP®” or “Program”), which provides grants for the purchase of a primary residence for first-time home buyers who meet HDP requirements as set forth in the FHLBNY Homebuyer Dream Program Guidelines, as the same may be amended and supplemented from time to time (“Program Guidelines”).  The HDP Guidelines are available on the FHLBNY website.
In connection with the Member’s request for HDP subsidy funding, the undersigned acknowledges that: 
(1) The Member shall comply with all of the requirements established by the Federal Housing Finance Agency (“FHFA”) Affordable Housing Program regulations, 12 C.F.R. Part 1291 (“AHP Regulation”) and the FHLBNY AHP Implementation Plan (the “Implementation Plan”), as the same may be amended from time to time. 
(2) the FHLBNY may deny or recover the grant if the FHLBNY discovers that the household does not meet Program requirements, the Member provided false, misleading or incomplete information to FHLBNY, or pursuant to the terms and conditions set forth in the AHP Regulation, Implementation Plan and Program Guidelines; and
(3) nothing contained in the Program Guidelines, Implementation Plan or this Program Request Form may be construed as an agreement or commitment on the part of FHLBNY to provide reimbursement of grant subsidy to the Member.  
The undersigned has read and fully understands and agrees to comply with the requirements of the Program as described above and in the Program Guidelines and certifies that the information contained in this Program Request Form is true and accurate.  The undersigned understands that limited funds are available and shall be allocated at the discretion of the FHLBNY in accordance with the Program Guidelines and the Implementation Plan, as the same may be amended and supplemented from time to time.  The FHLBNY reserves the right to change the terms and conditions of the Program at any time, without prior notice and, the FHLBNY in its sole discretion, may refuse to honor a request for an HDP grant. 
By typing or signing your name below, you agree that you signed this document with an electronic signature. You intend your authorized electronic signature to have the effect of your written signature. You have viewed and read this disclosure and this document before you signed it and you agree to be bound by the terms contained in this document.   
Please print and/or save a copy of this document. The FHLBNY may rely on, and enforce, this document in electronic form or as a paper version of the electronic form.</t>
  </si>
  <si>
    <t>5.0</t>
  </si>
  <si>
    <t>2023 Round</t>
  </si>
  <si>
    <t>Median</t>
  </si>
  <si>
    <t>1 &amp; 2 Person Households</t>
  </si>
  <si>
    <t>3+ Person Households</t>
  </si>
  <si>
    <t>REF_CODE</t>
  </si>
  <si>
    <t>Median Income Guidelines</t>
  </si>
  <si>
    <t>eHome America</t>
  </si>
  <si>
    <t>Refer to the Homebuyer Dream Program Member Guidelines and embedded instructions below for additional information on how to complete this Income Calculation Worksheet.
The household’s total income must be at or below 80% of the AMI for the county where the property is being purchased, adjusted for household size, as determined under 26 U.S.C. 143(f), Mortgage Revenues Bond (“MRB”), as published by a State agency or instrumentality.  For the U.S. Virgin Islands only, the area median income, as published annually by U.S. Department of Housing and Urban Development (“HUD”) is used.
The member is responsible for verifying all sources of income for all individuals, 18 years and older, who will reside in the home. The income of non-occupying co-signers, co-borrowers, or guarantors must also be included in the calculation for determining income eligibility.
The homebuyer(s) must demonstrate a reliable stream of income; examples include full time employment (defined as ≥ 32 hours a week), pension, disability award, Social Security, Individual Retirement Accounts, or other recurring sources.
Household members, 18 years and older, who do not receive income must execute a HDP Zero-Income Certification located on the FHLBNY’s website and be identified under Section G of the Income Calculation Worksheet.  If an individual is separated from his/her spouse, then the individual must also provide evidence of such separation with a legal separation agreement, legal documents filed with a court seeking a divorce or a divorce decree.
Please be aware that, with regard to all Homebuyer Dream Program requests that you submit, you are solely responsible for (i) the accuracy and the validity of the data that you provide and (ii) the accurate input of such data.</t>
  </si>
  <si>
    <t>• Variable/Bonus income is meant to include bonus income, commissions, profit sharing and any other income that may vary in amount or frequency of pay.  Such non-reoccurring income should be removed from the household’s year to date gross earnings and captured in the Variable/Bonus Income section of the Income Calculation Worksheet.
• The member will be required to certify that the household has confirmed the income itemized in this section is a one-time payment.</t>
  </si>
  <si>
    <t>Social Security, Pension, Public Assistance and Disability Income should be captured in Section B of the Income Calculation Worksheet.  Acceptable third-party documentation includes the following:
• Social Security Supplemental Income notices reflecting income within the year of reservation date.
• Retirement, pension and/or disability benefit statements.
• Letters or case management forms from public assistance agencies.
• Section 8 Homeownership Voucher Program approval letter.
• Other third-party documentation evidencing the amount and frequency of the benefit being received.
The gross benefit amount should be entered in the Income Calculation Worksheet. The worksheet will calculate an annualized income amount.</t>
  </si>
  <si>
    <t>Self-Employment income should be captured in Section C of the Income Calculation Worksheet.  Household members that report their annual earnings to the IRS through a Schedule C, 1099 statement, own a C or S Corporation, or an ownership interest in a partnership, are self-employed. Acceptable documentation includes:
• Most recent year completed copies of U.S. Individual Income Tax Returns (i.e., IRS 1040 Forms) and supporting schedules,
- In lieu of U.S. Individual Income Tax Returns, an IRS form 4506-T (Request for Transcript Tax Return) can be submitted to the IRS, and the member can rely on and submit the transcripts furnished by the IRS.
• A year-to-date Profit and Loss (“P&amp;L”) Statement prepared by the household member must be provided.
If a household member owns 25% or greater of a business, the applicable business tax returns must be provided.
The P&amp;L must state that these numbers are true and accurate and must be signed by the applicable household member.  Net income, depreciation, depletion, amortization and other losses that are not consistent and recurring must be added back to the business cash flow.
The household’s net income and duration of self-employment, as covered in the supporting documentation, must be entered in the Income Calculation Worksheet.  For example, a tax return that reflects one full year of self-employment income should indicate 12 months in Section C of the Income Calculation Worksheet, the worksheet will calculate an annualized income amount.</t>
  </si>
  <si>
    <t xml:space="preserve">Child support should be captured in Section D of the Income Calculation Worksheet and should be documented via a court order, printouts from the court or agency responsible for enforcing support payments or any other third-party documentation evidencing the amount and frequency of support payments received.  If there is a private arrangement, the details of the arrangement along with proof of receipt of two support payments must be provided.
When completing the fields on the worksheet, the following guidelines should be followed:
• Children’s names cannot be entered on the worksheet; the dropdown menu within the worksheet identifies children as Child #1, Child #2, etc.
• Arrear payments should not be included in the income calculation.
• Income payment frequency must be provided so that the worksheet can calculate the annualized income.
• In the case where child support is not received in line with the court order, an average of the year-to-date payments must be calculated and input into the Income Calculation Worksheet as the payment amount.  </t>
  </si>
  <si>
    <t>Seasonal employment, unemployment and miscellaneous income should be captured in Section E of the Income Calculation Worksheet.  The acceptable documentation will vary dependent upon income type.
For seasonal employment, the supporting documentation should include a fully completed Verification of Employment Form providing income amount earned over the most recent year, a W2, or other third- party documentation providing this information.  Individuals working under contractual agreements (i.e. teachers) must also provide the most recent contract in effect within the year of the reservation date.  The contracted salary and any additional income listed above salary must be included in the income analysis.
To verify unemployment income, worker’s compensation or severance pay, the benefit notification or award letter should be obtained.
To document miscellaneous income such as interest or dividends, the most recent 1099 or brokerage statements verifying stock portfolio earnings, should be obtained.  Other options for documentation include IRS form 4506-T (Request for Transcript Tax Return). Interest and dividend income must be included in the total household income when the annual amount exceeds $100 per filing year.
For these income types, the Income Calculation Worksheet is designed to accept an annual income amount, as reflected below.  If the income source documentation provides an income figure that is not an annual amount, it must be annualized prior to completing the worksheet.</t>
  </si>
  <si>
    <t>If the homebuyer(s) is purchasing a 2-4 family property, anticipated rental income must be captured in Section F of the Income Calculation Worksheet.  Rental income must be verified with a Real Estate Market Analysis, Uniform Residential Appraisal Report (Fannie Mae form 1004), or a Small Residential Income Property Appraisal Report (Fannie Mae form 1025) dated within 120 days of the reservation date.  In line with program requirements, 75% of the total gross annualized rental income will be calculated within the Income Calculation Worksheet.</t>
  </si>
  <si>
    <t>All household members over the age of 18 years, who will reside in the property, but do not receive any income from any source, must be listed in Section G of the Income Calculation Worksheet.  A fully executed HDP Zero-Income Certification dated within 60 days of the reservation date is required for each household member listed in this section of the Income Calculation Worksheet.</t>
  </si>
  <si>
    <t>• One (1) month of consecutive paychecks with accompanying earnings/deductions statements dated within 60 days of the reservation date.  The pay period end date, not the check date, must be utilized in calculating income; or
• Fully completed and properly executed Fannie Mae Request for Verification of Employment (Form 1005) dated within 60 days of the reservation date.
Note: To properly calculate Section A of the Income Calculation Worksheet, weekly pay requires 4 paystubs and bi-weekly / semi- monthly requires 2 paystubs.
• The income documentation utilized to qualify the household must provide the necessary information to perform the annualized forecast of current year-to-date and the average of one month of consecutive paystubs on the Income Calculation Worksheet.
• Employment ending or starting within the year of the reservation request will require a third-party verification of employment verifying both dates.
The Income Calculation Worksheet will perform two calculations and use the higher figure as the annual income.  The two calculations are as follows:
• The annualized forecast of current year-to-date (“YTD”) earnings, and
• The annualized forecast based on the average of one month of consecutive paystubs.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</si>
</sst>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000\-0000"/>
    <numFmt numFmtId="165" formatCode="00000"/>
    <numFmt numFmtId="166" formatCode="0000"/>
    <numFmt numFmtId="167" formatCode="00"/>
    <numFmt numFmtId="168" formatCode="000"/>
    <numFmt numFmtId="169" formatCode="m/d/yyyy;@"/>
    <numFmt numFmtId="170" formatCode="&quot;$&quot;#,##0.00"/>
    <numFmt numFmtId="171" formatCode="_(&quot;$&quot;* #,##0_);_(&quot;$&quot;* \(#,##0\);_(&quot;$&quot;* &quot;-&quot;??_);_(@_)"/>
    <numFmt numFmtId="172" formatCode="@\ *."/>
    <numFmt numFmtId="173" formatCode="0.0000%"/>
    <numFmt numFmtId="174" formatCode="&quot;$&quot;#,##0"/>
  </numFmts>
  <fonts count="59" x14ac:knownFonts="1">
    <font>
      <sz val="11"/>
      <color theme="1"/>
      <name val="Calibri"/>
      <family val="2"/>
      <scheme val="minor"/>
    </font>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i/>
      <sz val="10"/>
      <color theme="1"/>
      <name val="Calibri"/>
      <family val="2"/>
      <scheme val="minor"/>
    </font>
    <font>
      <i/>
      <sz val="9"/>
      <color theme="1"/>
      <name val="Calibri"/>
      <family val="2"/>
      <scheme val="minor"/>
    </font>
    <font>
      <i/>
      <sz val="11"/>
      <color theme="1"/>
      <name val="Calibri"/>
      <family val="2"/>
      <scheme val="minor"/>
    </font>
    <font>
      <b/>
      <sz val="11"/>
      <color theme="1"/>
      <name val="Calibri"/>
      <family val="2"/>
      <scheme val="minor"/>
    </font>
    <font>
      <u/>
      <sz val="11"/>
      <color theme="10"/>
      <name val="Calibri"/>
      <family val="2"/>
    </font>
    <font>
      <b/>
      <sz val="16"/>
      <color theme="1"/>
      <name val="Calibri"/>
      <family val="2"/>
      <scheme val="minor"/>
    </font>
    <font>
      <b/>
      <sz val="20"/>
      <color theme="1"/>
      <name val="Calibri"/>
      <family val="2"/>
      <scheme val="minor"/>
    </font>
    <font>
      <b/>
      <sz val="14"/>
      <color theme="1"/>
      <name val="Calibri"/>
      <family val="2"/>
      <scheme val="minor"/>
    </font>
    <font>
      <b/>
      <sz val="11"/>
      <name val="Calibri"/>
      <family val="2"/>
      <scheme val="minor"/>
    </font>
    <font>
      <b/>
      <sz val="10"/>
      <color theme="0"/>
      <name val="Calibri"/>
      <family val="2"/>
      <scheme val="minor"/>
    </font>
    <font>
      <b/>
      <sz val="9"/>
      <color theme="1"/>
      <name val="Calibri"/>
      <family val="2"/>
      <scheme val="minor"/>
    </font>
    <font>
      <sz val="8"/>
      <color theme="1"/>
      <name val="Calibri"/>
      <family val="2"/>
      <scheme val="minor"/>
    </font>
    <font>
      <b/>
      <i/>
      <sz val="9"/>
      <color theme="1"/>
      <name val="Calibri"/>
      <family val="2"/>
      <scheme val="minor"/>
    </font>
    <font>
      <b/>
      <u/>
      <sz val="11"/>
      <color theme="1"/>
      <name val="Calibri"/>
      <family val="2"/>
      <scheme val="minor"/>
    </font>
    <font>
      <sz val="10"/>
      <color theme="1"/>
      <name val="Calibri"/>
      <family val="2"/>
      <scheme val="minor"/>
    </font>
    <font>
      <b/>
      <sz val="11"/>
      <color theme="0"/>
      <name val="Calibri"/>
      <family val="2"/>
      <scheme val="minor"/>
    </font>
    <font>
      <sz val="10"/>
      <color theme="1"/>
      <name val="Calibri"/>
      <family val="2"/>
      <scheme val="minor"/>
    </font>
    <font>
      <b/>
      <sz val="9"/>
      <name val="Calibri"/>
      <family val="2"/>
      <scheme val="minor"/>
    </font>
    <font>
      <b/>
      <i/>
      <sz val="9"/>
      <name val="Calibri"/>
      <family val="2"/>
      <scheme val="minor"/>
    </font>
    <font>
      <b/>
      <sz val="10"/>
      <color rgb="FFFF0000"/>
      <name val="Calibri"/>
      <family val="2"/>
      <scheme val="minor"/>
    </font>
    <font>
      <b/>
      <i/>
      <sz val="10"/>
      <color theme="1"/>
      <name val="Calibri"/>
      <family val="2"/>
      <scheme val="minor"/>
    </font>
    <font>
      <sz val="14"/>
      <color theme="1"/>
      <name val="Calibri"/>
      <family val="2"/>
      <scheme val="minor"/>
    </font>
    <font>
      <sz val="9"/>
      <color theme="1"/>
      <name val="Calibri"/>
      <family val="2"/>
      <scheme val="minor"/>
    </font>
    <font>
      <sz val="10"/>
      <color rgb="FFFF0000"/>
      <name val="Calibri"/>
      <family val="2"/>
      <scheme val="minor"/>
    </font>
    <font>
      <b/>
      <sz val="12"/>
      <color theme="1"/>
      <name val="Calibri"/>
      <family val="2"/>
      <scheme val="minor"/>
    </font>
    <font>
      <b/>
      <u/>
      <sz val="11"/>
      <color theme="4" tint="-0.499984740745262"/>
      <name val="Calibri"/>
      <family val="2"/>
    </font>
    <font>
      <b/>
      <sz val="11"/>
      <color theme="4" tint="-0.499984740745262"/>
      <name val="Calibri"/>
      <family val="2"/>
      <scheme val="minor"/>
    </font>
    <font>
      <sz val="2"/>
      <color theme="1"/>
      <name val="Calibri"/>
      <family val="2"/>
      <scheme val="minor"/>
    </font>
    <font>
      <i/>
      <u/>
      <sz val="9"/>
      <color theme="1"/>
      <name val="Calibri"/>
      <family val="2"/>
      <scheme val="minor"/>
    </font>
    <font>
      <sz val="10"/>
      <name val="Arial"/>
      <family val="2"/>
    </font>
    <font>
      <sz val="12"/>
      <color theme="1"/>
      <name val="Calibri"/>
      <family val="2"/>
      <scheme val="minor"/>
    </font>
    <font>
      <b/>
      <sz val="20"/>
      <color rgb="FFFFFFFF"/>
      <name val="Calibri"/>
      <family val="2"/>
      <scheme val="minor"/>
    </font>
    <font>
      <i/>
      <sz val="11"/>
      <name val="Calibri"/>
      <family val="2"/>
      <scheme val="minor"/>
    </font>
    <font>
      <b/>
      <i/>
      <sz val="11"/>
      <color rgb="FFFF0000"/>
      <name val="Calibri"/>
      <family val="2"/>
      <scheme val="minor"/>
    </font>
    <font>
      <b/>
      <sz val="14"/>
      <name val="Calibri"/>
      <family val="2"/>
      <scheme val="minor"/>
    </font>
    <font>
      <sz val="8"/>
      <color rgb="FF000000"/>
      <name val="Tahoma"/>
      <family val="2"/>
    </font>
    <font>
      <sz val="8"/>
      <color theme="0"/>
      <name val="Calibri"/>
      <family val="2"/>
      <scheme val="minor"/>
    </font>
    <font>
      <sz val="10"/>
      <color theme="1"/>
      <name val="Calibri"/>
      <family val="2"/>
      <scheme val="minor"/>
    </font>
    <font>
      <u/>
      <sz val="11"/>
      <color theme="1"/>
      <name val="Calibri"/>
      <family val="2"/>
      <scheme val="minor"/>
    </font>
    <font>
      <sz val="11"/>
      <color theme="0"/>
      <name val="Calibri"/>
      <family val="2"/>
      <scheme val="minor"/>
    </font>
    <font>
      <b/>
      <sz val="10"/>
      <name val="Calibri"/>
      <family val="2"/>
      <scheme val="minor"/>
    </font>
    <font>
      <b/>
      <u/>
      <sz val="10"/>
      <color theme="1"/>
      <name val="Calibri"/>
      <family val="2"/>
      <scheme val="minor"/>
    </font>
    <font>
      <sz val="10"/>
      <name val="Calibri"/>
      <family val="2"/>
      <scheme val="minor"/>
    </font>
    <font>
      <sz val="10"/>
      <color theme="0"/>
      <name val="Calibri"/>
      <family val="2"/>
      <scheme val="minor"/>
    </font>
    <font>
      <sz val="9"/>
      <color theme="5"/>
      <name val="Calibri"/>
      <family val="2"/>
      <scheme val="minor"/>
    </font>
    <font>
      <b/>
      <vertAlign val="superscript"/>
      <sz val="10"/>
      <color theme="1"/>
      <name val="Calibri"/>
      <family val="2"/>
      <scheme val="minor"/>
    </font>
    <font>
      <b/>
      <sz val="12"/>
      <color theme="0"/>
      <name val="Calibri"/>
      <family val="2"/>
      <scheme val="minor"/>
    </font>
    <font>
      <i/>
      <sz val="10"/>
      <color theme="0"/>
      <name val="Calibri"/>
      <family val="2"/>
      <scheme val="minor"/>
    </font>
    <font>
      <b/>
      <sz val="14"/>
      <color theme="0"/>
      <name val="Calibri"/>
      <family val="2"/>
    </font>
    <font>
      <sz val="9"/>
      <name val="Calibri"/>
      <family val="2"/>
      <scheme val="minor"/>
    </font>
    <font>
      <b/>
      <sz val="11"/>
      <color theme="0"/>
      <name val="Calibri"/>
      <family val="2"/>
    </font>
    <font>
      <sz val="10.5"/>
      <color theme="1"/>
      <name val="Calibri"/>
      <family val="2"/>
      <scheme val="minor"/>
    </font>
    <font>
      <sz val="10"/>
      <color theme="1"/>
      <name val="Calibri"/>
      <family val="2"/>
    </font>
  </fonts>
  <fills count="29">
    <fill>
      <patternFill patternType="none"/>
    </fill>
    <fill>
      <patternFill patternType="gray125"/>
    </fill>
    <fill>
      <gradientFill degree="90">
        <stop position="0">
          <color rgb="FF8EB149"/>
        </stop>
        <stop position="1">
          <color rgb="FF708B39"/>
        </stop>
      </gradientFill>
    </fill>
    <fill>
      <patternFill patternType="solid">
        <fgColor rgb="FFFFFFCC"/>
        <bgColor indexed="64"/>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lightUp">
        <fgColor theme="0" tint="-0.34998626667073579"/>
        <bgColor theme="0" tint="-0.14996795556505021"/>
      </patternFill>
    </fill>
    <fill>
      <patternFill patternType="solid">
        <fgColor rgb="FFFFFF0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DCE6F2"/>
        <bgColor indexed="64"/>
      </patternFill>
    </fill>
    <fill>
      <patternFill patternType="solid">
        <fgColor theme="1" tint="0.499984740745262"/>
        <bgColor indexed="64"/>
      </patternFill>
    </fill>
    <fill>
      <patternFill patternType="solid">
        <fgColor theme="4" tint="0.59999389629810485"/>
        <bgColor indexed="64"/>
      </patternFill>
    </fill>
    <fill>
      <patternFill patternType="mediumGray">
        <fgColor theme="0" tint="-4.9989318521683403E-2"/>
        <bgColor indexed="65"/>
      </patternFill>
    </fill>
    <fill>
      <patternFill patternType="solid">
        <fgColor rgb="FF00305E"/>
        <bgColor indexed="64"/>
      </patternFill>
    </fill>
    <fill>
      <patternFill patternType="solid">
        <fgColor theme="5" tint="-0.249977111117893"/>
        <bgColor indexed="64"/>
      </patternFill>
    </fill>
    <fill>
      <patternFill patternType="solid">
        <fgColor rgb="FFFF0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0"/>
      </bottom>
      <diagonal/>
    </border>
    <border>
      <left/>
      <right/>
      <top/>
      <bottom style="thin">
        <color theme="0"/>
      </bottom>
      <diagonal/>
    </border>
    <border>
      <left/>
      <right/>
      <top/>
      <bottom style="thin">
        <color theme="9" tint="0.39997558519241921"/>
      </bottom>
      <diagonal/>
    </border>
    <border>
      <left/>
      <right/>
      <top style="thin">
        <color indexed="64"/>
      </top>
      <bottom/>
      <diagonal/>
    </border>
    <border>
      <left/>
      <right style="thin">
        <color theme="0"/>
      </right>
      <top/>
      <bottom style="thick">
        <color theme="0"/>
      </bottom>
      <diagonal/>
    </border>
    <border>
      <left/>
      <right style="thin">
        <color theme="0"/>
      </right>
      <top/>
      <bottom style="thin">
        <color theme="0"/>
      </bottom>
      <diagonal/>
    </border>
    <border>
      <left/>
      <right/>
      <top/>
      <bottom style="double">
        <color indexed="64"/>
      </bottom>
      <diagonal/>
    </border>
    <border>
      <left/>
      <right/>
      <top/>
      <bottom style="medium">
        <color indexed="64"/>
      </bottom>
      <diagonal/>
    </border>
    <border>
      <left/>
      <right/>
      <top/>
      <bottom style="medium">
        <color rgb="FF00305E"/>
      </bottom>
      <diagonal/>
    </border>
    <border>
      <left/>
      <right/>
      <top/>
      <bottom style="thin">
        <color rgb="FF00305E"/>
      </bottom>
      <diagonal/>
    </border>
    <border>
      <left style="thin">
        <color rgb="FF00305E"/>
      </left>
      <right style="thin">
        <color rgb="FF00305E"/>
      </right>
      <top style="thin">
        <color rgb="FF00305E"/>
      </top>
      <bottom style="thin">
        <color rgb="FF00305E"/>
      </bottom>
      <diagonal/>
    </border>
    <border>
      <left/>
      <right style="thin">
        <color theme="0"/>
      </right>
      <top/>
      <bottom/>
      <diagonal/>
    </border>
    <border>
      <left/>
      <right/>
      <top style="medium">
        <color indexed="64"/>
      </top>
      <bottom/>
      <diagonal/>
    </border>
    <border>
      <left style="thin">
        <color indexed="64"/>
      </left>
      <right/>
      <top/>
      <bottom/>
      <diagonal/>
    </border>
    <border>
      <left style="thin">
        <color rgb="FF00305E"/>
      </left>
      <right style="thin">
        <color rgb="FF00305E"/>
      </right>
      <top/>
      <bottom style="thin">
        <color rgb="FF00305E"/>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right/>
      <top style="thin">
        <color indexed="64"/>
      </top>
      <bottom style="medium">
        <color indexed="64"/>
      </bottom>
      <diagonal/>
    </border>
    <border>
      <left/>
      <right style="thin">
        <color theme="0"/>
      </right>
      <top/>
      <bottom style="thin">
        <color theme="9" tint="0.39997558519241921"/>
      </bottom>
      <diagonal/>
    </border>
    <border>
      <left style="thin">
        <color theme="0"/>
      </left>
      <right style="thin">
        <color theme="0"/>
      </right>
      <top/>
      <bottom style="thin">
        <color theme="9" tint="0.39997558519241921"/>
      </bottom>
      <diagonal/>
    </border>
    <border>
      <left style="thin">
        <color theme="0"/>
      </left>
      <right/>
      <top/>
      <bottom style="thin">
        <color theme="9" tint="0.3999755851924192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rgb="FFFABF8F"/>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rgb="FF00305E"/>
      </left>
      <right style="thin">
        <color rgb="FF00305E"/>
      </right>
      <top style="thin">
        <color rgb="FF00305E"/>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theme="0" tint="-0.24994659260841701"/>
      </bottom>
      <diagonal/>
    </border>
    <border>
      <left style="thin">
        <color indexed="64"/>
      </left>
      <right style="thin">
        <color rgb="FF00305E"/>
      </right>
      <top style="thin">
        <color indexed="64"/>
      </top>
      <bottom style="thin">
        <color indexed="64"/>
      </bottom>
      <diagonal/>
    </border>
    <border>
      <left style="thin">
        <color rgb="FF00305E"/>
      </left>
      <right style="thin">
        <color rgb="FF00305E"/>
      </right>
      <top style="thin">
        <color indexed="64"/>
      </top>
      <bottom style="thin">
        <color indexed="64"/>
      </bottom>
      <diagonal/>
    </border>
    <border>
      <left style="thin">
        <color rgb="FF00305E"/>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0" fontId="35" fillId="0" borderId="0"/>
    <xf numFmtId="9"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cellStyleXfs>
  <cellXfs count="429">
    <xf numFmtId="0" fontId="0" fillId="0" borderId="0" xfId="0"/>
    <xf numFmtId="0" fontId="2" fillId="0" borderId="0" xfId="0" applyFont="1"/>
    <xf numFmtId="0" fontId="2" fillId="0" borderId="0" xfId="0" applyFont="1" applyAlignment="1">
      <alignment horizontal="left"/>
    </xf>
    <xf numFmtId="0" fontId="5" fillId="0" borderId="0" xfId="0" applyFont="1"/>
    <xf numFmtId="0" fontId="6" fillId="0" borderId="0" xfId="0" applyFont="1"/>
    <xf numFmtId="0" fontId="5" fillId="0" borderId="0" xfId="0" applyFont="1" applyAlignment="1">
      <alignment horizontal="left"/>
    </xf>
    <xf numFmtId="0" fontId="0" fillId="0" borderId="0" xfId="0" applyProtection="1">
      <protection hidden="1"/>
    </xf>
    <xf numFmtId="0" fontId="13" fillId="0" borderId="0" xfId="0" applyFont="1" applyAlignment="1" applyProtection="1">
      <alignment horizontal="left" vertical="center" indent="3"/>
      <protection hidden="1"/>
    </xf>
    <xf numFmtId="0" fontId="11" fillId="0" borderId="0" xfId="0" applyFont="1" applyAlignment="1" applyProtection="1">
      <alignment vertical="center"/>
      <protection hidden="1"/>
    </xf>
    <xf numFmtId="0" fontId="7" fillId="0" borderId="0" xfId="0" applyFont="1" applyAlignment="1" applyProtection="1">
      <alignment horizontal="left"/>
      <protection hidden="1"/>
    </xf>
    <xf numFmtId="0" fontId="6" fillId="0" borderId="0" xfId="0" quotePrefix="1" applyFont="1" applyAlignment="1">
      <alignment horizontal="center"/>
    </xf>
    <xf numFmtId="0" fontId="7" fillId="3" borderId="1" xfId="0" applyFont="1" applyFill="1" applyBorder="1" applyAlignment="1" applyProtection="1">
      <alignment horizontal="left"/>
      <protection hidden="1"/>
    </xf>
    <xf numFmtId="164" fontId="2" fillId="0" borderId="0" xfId="0" applyNumberFormat="1" applyFont="1"/>
    <xf numFmtId="0" fontId="15" fillId="4" borderId="5" xfId="0" applyFont="1" applyFill="1" applyBorder="1"/>
    <xf numFmtId="0" fontId="0" fillId="5" borderId="6" xfId="0" applyFill="1" applyBorder="1"/>
    <xf numFmtId="0" fontId="0" fillId="6" borderId="6" xfId="0" applyFill="1" applyBorder="1"/>
    <xf numFmtId="0" fontId="20" fillId="0" borderId="0" xfId="0" applyFont="1"/>
    <xf numFmtId="0" fontId="20" fillId="0" borderId="0" xfId="0" applyFont="1" applyAlignment="1">
      <alignment horizontal="left"/>
    </xf>
    <xf numFmtId="0" fontId="2" fillId="0" borderId="0" xfId="0" applyFont="1" applyAlignment="1">
      <alignment horizontal="center"/>
    </xf>
    <xf numFmtId="0" fontId="20" fillId="0" borderId="0" xfId="0" applyFont="1" applyAlignment="1">
      <alignment horizontal="center"/>
    </xf>
    <xf numFmtId="0" fontId="2" fillId="9" borderId="0" xfId="0" applyFont="1" applyFill="1"/>
    <xf numFmtId="0" fontId="2" fillId="10" borderId="0" xfId="0" applyFont="1" applyFill="1" applyAlignment="1">
      <alignment horizontal="left"/>
    </xf>
    <xf numFmtId="0" fontId="21" fillId="11" borderId="7" xfId="0" applyFont="1" applyFill="1" applyBorder="1"/>
    <xf numFmtId="0" fontId="0" fillId="12" borderId="0" xfId="0" applyFill="1"/>
    <xf numFmtId="0" fontId="22" fillId="0" borderId="0" xfId="0" applyFont="1"/>
    <xf numFmtId="0" fontId="22" fillId="0" borderId="0" xfId="0" applyFont="1" applyAlignment="1">
      <alignment horizontal="left"/>
    </xf>
    <xf numFmtId="0" fontId="22" fillId="0" borderId="0" xfId="0" applyFont="1" applyAlignment="1">
      <alignment horizontal="center"/>
    </xf>
    <xf numFmtId="0" fontId="24" fillId="14" borderId="1" xfId="0" applyFont="1" applyFill="1" applyBorder="1" applyAlignment="1" applyProtection="1">
      <alignment horizontal="left"/>
      <protection hidden="1"/>
    </xf>
    <xf numFmtId="0" fontId="7" fillId="15" borderId="1" xfId="0" applyFont="1" applyFill="1" applyBorder="1" applyAlignment="1" applyProtection="1">
      <alignment horizontal="left"/>
      <protection hidden="1"/>
    </xf>
    <xf numFmtId="0" fontId="15" fillId="4" borderId="9" xfId="0" applyFont="1" applyFill="1" applyBorder="1"/>
    <xf numFmtId="0" fontId="2" fillId="5" borderId="10" xfId="0" applyFont="1" applyFill="1" applyBorder="1"/>
    <xf numFmtId="0" fontId="2" fillId="6" borderId="10" xfId="0" applyFont="1" applyFill="1" applyBorder="1"/>
    <xf numFmtId="0" fontId="27" fillId="0" borderId="0" xfId="0" applyFont="1" applyAlignment="1" applyProtection="1">
      <alignment horizontal="left" vertical="center" indent="3"/>
      <protection hidden="1"/>
    </xf>
    <xf numFmtId="0" fontId="2" fillId="5" borderId="10" xfId="0" applyFont="1" applyFill="1" applyBorder="1" applyAlignment="1">
      <alignment horizontal="center"/>
    </xf>
    <xf numFmtId="0" fontId="2" fillId="6" borderId="10" xfId="0" applyFont="1" applyFill="1" applyBorder="1" applyAlignment="1">
      <alignment horizontal="center"/>
    </xf>
    <xf numFmtId="0" fontId="0" fillId="0" borderId="13" xfId="0" applyBorder="1" applyProtection="1">
      <protection hidden="1"/>
    </xf>
    <xf numFmtId="0" fontId="0" fillId="0" borderId="13" xfId="0" applyBorder="1" applyAlignment="1" applyProtection="1">
      <alignment horizontal="center" vertical="center"/>
      <protection hidden="1"/>
    </xf>
    <xf numFmtId="0" fontId="0" fillId="7" borderId="14" xfId="0" applyFill="1" applyBorder="1"/>
    <xf numFmtId="0" fontId="5" fillId="7" borderId="14" xfId="0" applyFont="1" applyFill="1" applyBorder="1" applyAlignment="1">
      <alignment vertical="center"/>
    </xf>
    <xf numFmtId="0" fontId="0" fillId="0" borderId="0" xfId="0" applyAlignment="1">
      <alignment vertical="center"/>
    </xf>
    <xf numFmtId="0" fontId="9" fillId="0" borderId="0" xfId="0" applyFont="1" applyAlignment="1">
      <alignment vertical="center"/>
    </xf>
    <xf numFmtId="0" fontId="17" fillId="15" borderId="15" xfId="0" applyFont="1" applyFill="1" applyBorder="1"/>
    <xf numFmtId="0" fontId="0" fillId="0" borderId="0" xfId="0" applyProtection="1">
      <protection locked="0"/>
    </xf>
    <xf numFmtId="0" fontId="0" fillId="3" borderId="1" xfId="0" applyFill="1" applyBorder="1" applyAlignment="1" applyProtection="1">
      <alignment horizontal="center" vertical="center"/>
      <protection locked="0"/>
    </xf>
    <xf numFmtId="166" fontId="0" fillId="3" borderId="2"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0" fontId="24" fillId="14" borderId="1" xfId="0" applyFont="1" applyFill="1" applyBorder="1" applyAlignment="1">
      <alignment horizontal="left"/>
    </xf>
    <xf numFmtId="0" fontId="0" fillId="0" borderId="0" xfId="0" applyAlignment="1">
      <alignment horizontal="center" vertical="center"/>
    </xf>
    <xf numFmtId="0" fontId="7" fillId="15" borderId="0" xfId="0" applyFont="1" applyFill="1" applyAlignment="1">
      <alignment horizontal="left"/>
    </xf>
    <xf numFmtId="0" fontId="5" fillId="7" borderId="0" xfId="0" applyFont="1" applyFill="1" applyAlignment="1">
      <alignment horizontal="left" vertical="center" indent="1"/>
    </xf>
    <xf numFmtId="0" fontId="0" fillId="7" borderId="0" xfId="0" applyFill="1" applyAlignment="1">
      <alignment horizontal="left" vertical="center"/>
    </xf>
    <xf numFmtId="9" fontId="16" fillId="7" borderId="0" xfId="3" applyFont="1" applyFill="1" applyBorder="1" applyAlignment="1" applyProtection="1">
      <alignment horizontal="center" vertical="center"/>
    </xf>
    <xf numFmtId="0" fontId="0" fillId="7" borderId="0" xfId="0" applyFill="1"/>
    <xf numFmtId="0" fontId="0" fillId="7" borderId="0" xfId="0" applyFill="1" applyAlignment="1">
      <alignment horizontal="center" vertical="center"/>
    </xf>
    <xf numFmtId="0" fontId="7" fillId="15" borderId="1" xfId="0" applyFont="1" applyFill="1" applyBorder="1" applyAlignment="1">
      <alignment horizontal="left"/>
    </xf>
    <xf numFmtId="0" fontId="25" fillId="0" borderId="0" xfId="0" applyFont="1" applyAlignment="1">
      <alignment horizontal="center" vertical="center"/>
    </xf>
    <xf numFmtId="0" fontId="2" fillId="3" borderId="1" xfId="0" applyFont="1" applyFill="1" applyBorder="1" applyAlignment="1">
      <alignment horizontal="center" vertical="center"/>
    </xf>
    <xf numFmtId="0" fontId="7" fillId="15" borderId="1" xfId="0" applyFont="1" applyFill="1" applyBorder="1" applyAlignment="1">
      <alignment horizontal="left" vertical="center"/>
    </xf>
    <xf numFmtId="0" fontId="30" fillId="0" borderId="12" xfId="0" applyFont="1" applyBorder="1" applyAlignment="1">
      <alignment vertical="center"/>
    </xf>
    <xf numFmtId="0" fontId="26" fillId="0" borderId="12" xfId="0" applyFont="1" applyBorder="1" applyAlignment="1">
      <alignment horizontal="right" vertical="center"/>
    </xf>
    <xf numFmtId="0" fontId="0" fillId="0" borderId="0" xfId="0" applyAlignment="1">
      <alignment horizontal="left" vertical="center" indent="1"/>
    </xf>
    <xf numFmtId="0" fontId="19"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7" fillId="15" borderId="1" xfId="0" applyFont="1" applyFill="1" applyBorder="1" applyAlignment="1">
      <alignment horizontal="left" vertical="center" indent="1"/>
    </xf>
    <xf numFmtId="165" fontId="0" fillId="0" borderId="0" xfId="0" applyNumberFormat="1" applyAlignment="1">
      <alignment vertical="center"/>
    </xf>
    <xf numFmtId="165" fontId="0" fillId="0" borderId="0" xfId="0" applyNumberFormat="1" applyAlignment="1">
      <alignment horizontal="left" vertical="center"/>
    </xf>
    <xf numFmtId="0" fontId="9" fillId="0" borderId="11" xfId="0" applyFont="1" applyBorder="1" applyAlignment="1">
      <alignment vertical="center"/>
    </xf>
    <xf numFmtId="0" fontId="7" fillId="13" borderId="1" xfId="0" applyFont="1" applyFill="1" applyBorder="1" applyAlignment="1">
      <alignment horizontal="left" vertical="center"/>
    </xf>
    <xf numFmtId="0" fontId="29" fillId="3" borderId="4" xfId="0" applyFont="1" applyFill="1" applyBorder="1" applyAlignment="1">
      <alignment horizontal="center" vertical="center"/>
    </xf>
    <xf numFmtId="0" fontId="7" fillId="0" borderId="0" xfId="0" applyFont="1" applyAlignment="1">
      <alignment horizontal="left"/>
    </xf>
    <xf numFmtId="0" fontId="2" fillId="5" borderId="6" xfId="0" applyFont="1" applyFill="1" applyBorder="1"/>
    <xf numFmtId="0" fontId="2" fillId="6" borderId="6" xfId="0" applyFont="1" applyFill="1" applyBorder="1"/>
    <xf numFmtId="0" fontId="2" fillId="6" borderId="16" xfId="0" applyFont="1" applyFill="1" applyBorder="1"/>
    <xf numFmtId="0" fontId="2" fillId="6" borderId="0" xfId="0" applyFont="1" applyFill="1"/>
    <xf numFmtId="0" fontId="2" fillId="5" borderId="0" xfId="0" applyFont="1" applyFill="1"/>
    <xf numFmtId="9" fontId="2" fillId="0" borderId="0" xfId="0" applyNumberFormat="1" applyFont="1" applyAlignment="1">
      <alignment vertical="center"/>
    </xf>
    <xf numFmtId="0" fontId="2" fillId="0" borderId="0" xfId="0" applyFont="1" applyAlignment="1">
      <alignment horizontal="left" vertical="center"/>
    </xf>
    <xf numFmtId="0" fontId="5" fillId="7" borderId="0" xfId="0" applyFont="1" applyFill="1" applyAlignment="1">
      <alignment horizontal="left" vertical="center"/>
    </xf>
    <xf numFmtId="0" fontId="5" fillId="7" borderId="0" xfId="0" applyFont="1" applyFill="1" applyAlignment="1">
      <alignment horizontal="right" vertical="center"/>
    </xf>
    <xf numFmtId="0" fontId="7" fillId="16" borderId="1" xfId="0" applyFont="1" applyFill="1" applyBorder="1" applyAlignment="1">
      <alignment horizontal="left" vertical="center" indent="1"/>
    </xf>
    <xf numFmtId="0" fontId="2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2" fillId="10" borderId="0" xfId="0" applyFont="1" applyFill="1" applyAlignment="1">
      <alignment horizontal="center"/>
    </xf>
    <xf numFmtId="0" fontId="9" fillId="0" borderId="12" xfId="0" applyFont="1" applyBorder="1"/>
    <xf numFmtId="0" fontId="0" fillId="0" borderId="12" xfId="0" applyBorder="1"/>
    <xf numFmtId="0" fontId="0" fillId="0" borderId="13" xfId="0" applyBorder="1"/>
    <xf numFmtId="0" fontId="0" fillId="0" borderId="13" xfId="0" applyBorder="1" applyAlignment="1">
      <alignment horizontal="center" vertical="center"/>
    </xf>
    <xf numFmtId="0" fontId="24" fillId="14" borderId="2" xfId="0" applyFont="1" applyFill="1" applyBorder="1" applyAlignment="1">
      <alignment horizontal="left"/>
    </xf>
    <xf numFmtId="0" fontId="5" fillId="7" borderId="14" xfId="0" applyFont="1" applyFill="1" applyBorder="1" applyAlignment="1">
      <alignment horizontal="left" vertical="center"/>
    </xf>
    <xf numFmtId="0" fontId="5" fillId="7" borderId="14" xfId="0" applyFont="1" applyFill="1" applyBorder="1" applyAlignment="1">
      <alignment horizontal="right" vertical="center"/>
    </xf>
    <xf numFmtId="0" fontId="0" fillId="7" borderId="14" xfId="0" applyFill="1" applyBorder="1" applyAlignment="1">
      <alignment horizontal="center" vertical="center"/>
    </xf>
    <xf numFmtId="0" fontId="0" fillId="15" borderId="0" xfId="0" applyFill="1" applyProtection="1">
      <protection hidden="1"/>
    </xf>
    <xf numFmtId="0" fontId="33" fillId="15" borderId="0" xfId="0" applyFont="1" applyFill="1" applyAlignment="1" applyProtection="1">
      <alignment horizontal="center" vertical="center"/>
      <protection hidden="1"/>
    </xf>
    <xf numFmtId="170" fontId="0" fillId="0" borderId="0" xfId="0" applyNumberFormat="1" applyAlignment="1" applyProtection="1">
      <alignment horizontal="right" vertical="center" indent="1"/>
      <protection hidden="1"/>
    </xf>
    <xf numFmtId="170" fontId="18" fillId="0" borderId="0" xfId="0" applyNumberFormat="1" applyFont="1" applyAlignment="1" applyProtection="1">
      <alignment horizontal="right" vertical="center"/>
      <protection hidden="1"/>
    </xf>
    <xf numFmtId="0" fontId="18" fillId="17" borderId="1" xfId="0" applyFont="1" applyFill="1" applyBorder="1" applyAlignment="1">
      <alignment horizontal="left" vertical="center"/>
    </xf>
    <xf numFmtId="0" fontId="7" fillId="17" borderId="1" xfId="0" applyFont="1" applyFill="1" applyBorder="1" applyAlignment="1">
      <alignment horizontal="left" vertical="center"/>
    </xf>
    <xf numFmtId="0" fontId="21" fillId="17" borderId="1" xfId="0" applyFont="1" applyFill="1" applyBorder="1" applyAlignment="1">
      <alignment horizontal="left" vertical="center"/>
    </xf>
    <xf numFmtId="0" fontId="7" fillId="13" borderId="1" xfId="0" applyFont="1" applyFill="1" applyBorder="1" applyAlignment="1">
      <alignment horizontal="left"/>
    </xf>
    <xf numFmtId="0" fontId="7" fillId="7" borderId="1" xfId="0" applyFont="1" applyFill="1" applyBorder="1" applyAlignment="1">
      <alignment horizontal="left" vertical="center"/>
    </xf>
    <xf numFmtId="0" fontId="7" fillId="8" borderId="1" xfId="0" applyFont="1" applyFill="1" applyBorder="1" applyAlignment="1">
      <alignment horizontal="left" vertical="center"/>
    </xf>
    <xf numFmtId="9" fontId="7" fillId="13" borderId="1" xfId="3" applyFont="1" applyFill="1" applyBorder="1" applyAlignment="1" applyProtection="1">
      <alignment horizontal="left" vertical="center"/>
    </xf>
    <xf numFmtId="0" fontId="2" fillId="0" borderId="12" xfId="0" applyFont="1" applyBorder="1"/>
    <xf numFmtId="0" fontId="2" fillId="0" borderId="12" xfId="0" applyFont="1" applyBorder="1" applyAlignment="1">
      <alignment horizontal="center"/>
    </xf>
    <xf numFmtId="0" fontId="2" fillId="0" borderId="12" xfId="0" applyFont="1" applyBorder="1" applyAlignment="1">
      <alignment horizontal="left"/>
    </xf>
    <xf numFmtId="0" fontId="2" fillId="10" borderId="12" xfId="0" applyFont="1" applyFill="1" applyBorder="1" applyAlignment="1">
      <alignment horizontal="left"/>
    </xf>
    <xf numFmtId="0" fontId="20" fillId="0" borderId="12" xfId="0" applyFont="1" applyBorder="1"/>
    <xf numFmtId="0" fontId="5" fillId="19" borderId="0" xfId="0" applyFont="1" applyFill="1" applyAlignment="1">
      <alignment horizontal="left"/>
    </xf>
    <xf numFmtId="0" fontId="2" fillId="19" borderId="0" xfId="0" applyFont="1" applyFill="1" applyAlignment="1">
      <alignment horizontal="left"/>
    </xf>
    <xf numFmtId="0" fontId="0" fillId="0" borderId="0" xfId="0" applyAlignment="1" applyProtection="1">
      <alignment vertical="center"/>
      <protection hidden="1"/>
    </xf>
    <xf numFmtId="0" fontId="9" fillId="0" borderId="0" xfId="0" applyFont="1" applyAlignment="1" applyProtection="1">
      <alignment horizontal="center" vertical="center"/>
      <protection hidden="1"/>
    </xf>
    <xf numFmtId="0" fontId="7" fillId="15" borderId="1" xfId="0" applyFont="1" applyFill="1" applyBorder="1" applyAlignment="1" applyProtection="1">
      <alignment horizontal="left" vertical="center"/>
      <protection hidden="1"/>
    </xf>
    <xf numFmtId="0" fontId="7" fillId="3" borderId="1" xfId="0" applyFont="1" applyFill="1" applyBorder="1" applyAlignment="1" applyProtection="1">
      <alignment horizontal="left" vertical="center"/>
      <protection hidden="1"/>
    </xf>
    <xf numFmtId="0" fontId="7" fillId="3" borderId="1" xfId="0" applyFont="1" applyFill="1" applyBorder="1" applyAlignment="1" applyProtection="1">
      <alignment horizontal="left" vertical="center"/>
      <protection locked="0" hidden="1"/>
    </xf>
    <xf numFmtId="0" fontId="37" fillId="0" borderId="0" xfId="0" applyFont="1" applyProtection="1">
      <protection hidden="1"/>
    </xf>
    <xf numFmtId="0" fontId="22" fillId="0" borderId="12" xfId="0" applyFont="1" applyBorder="1" applyAlignment="1">
      <alignment horizontal="center"/>
    </xf>
    <xf numFmtId="0" fontId="2" fillId="10" borderId="0" xfId="0" applyFont="1" applyFill="1"/>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49" fontId="2" fillId="0" borderId="0" xfId="0" applyNumberFormat="1" applyFont="1" applyAlignment="1">
      <alignment horizontal="left"/>
    </xf>
    <xf numFmtId="0" fontId="0" fillId="3" borderId="3" xfId="0" applyFill="1" applyBorder="1" applyAlignment="1" applyProtection="1">
      <alignment horizontal="left" vertical="center" indent="1" shrinkToFit="1"/>
      <protection locked="0"/>
    </xf>
    <xf numFmtId="0" fontId="0" fillId="3" borderId="3" xfId="0" applyFill="1" applyBorder="1" applyAlignment="1" applyProtection="1">
      <alignment horizontal="left" vertical="center" indent="1"/>
      <protection locked="0"/>
    </xf>
    <xf numFmtId="0" fontId="5" fillId="0" borderId="12" xfId="0" applyFont="1" applyBorder="1" applyAlignment="1">
      <alignment vertical="center"/>
    </xf>
    <xf numFmtId="0" fontId="2" fillId="0" borderId="12" xfId="0" applyFont="1" applyBorder="1" applyAlignment="1">
      <alignment horizontal="center" vertical="center"/>
    </xf>
    <xf numFmtId="14" fontId="7" fillId="7" borderId="1" xfId="0" applyNumberFormat="1" applyFont="1" applyFill="1" applyBorder="1" applyAlignment="1">
      <alignment horizontal="left" vertical="center"/>
    </xf>
    <xf numFmtId="0" fontId="2" fillId="7" borderId="0" xfId="0" applyFont="1" applyFill="1" applyAlignment="1">
      <alignment horizontal="center" vertical="center"/>
    </xf>
    <xf numFmtId="0" fontId="0" fillId="3" borderId="3" xfId="0" applyFill="1" applyBorder="1" applyAlignment="1" applyProtection="1">
      <alignment horizontal="center" vertical="center" shrinkToFit="1"/>
      <protection locked="0"/>
    </xf>
    <xf numFmtId="0" fontId="11" fillId="3" borderId="3" xfId="0" applyFont="1" applyFill="1" applyBorder="1" applyAlignment="1">
      <alignment horizontal="center" vertical="center"/>
    </xf>
    <xf numFmtId="165" fontId="0" fillId="3" borderId="1" xfId="0" applyNumberFormat="1" applyFill="1" applyBorder="1" applyAlignment="1" applyProtection="1">
      <alignment horizontal="center" vertical="center"/>
      <protection locked="0"/>
    </xf>
    <xf numFmtId="0" fontId="6" fillId="0" borderId="0" xfId="0" applyFont="1" applyAlignment="1">
      <alignment horizontal="left" vertical="center"/>
    </xf>
    <xf numFmtId="0" fontId="30" fillId="0" borderId="0" xfId="0" applyFont="1" applyAlignment="1">
      <alignment vertical="center"/>
    </xf>
    <xf numFmtId="0" fontId="26" fillId="0" borderId="0" xfId="0" applyFont="1" applyAlignment="1">
      <alignment horizontal="right" vertical="center"/>
    </xf>
    <xf numFmtId="0" fontId="7" fillId="0" borderId="0" xfId="0" applyFont="1" applyAlignment="1">
      <alignment vertical="center"/>
    </xf>
    <xf numFmtId="165" fontId="0" fillId="0" borderId="0" xfId="0" applyNumberFormat="1" applyAlignment="1">
      <alignment vertical="center" wrapText="1"/>
    </xf>
    <xf numFmtId="0" fontId="0" fillId="3" borderId="2" xfId="0" applyFill="1" applyBorder="1"/>
    <xf numFmtId="0" fontId="0" fillId="3" borderId="3" xfId="0" applyFill="1" applyBorder="1"/>
    <xf numFmtId="0" fontId="0" fillId="3" borderId="4" xfId="0" applyFill="1" applyBorder="1"/>
    <xf numFmtId="0" fontId="0" fillId="0" borderId="11" xfId="0" applyBorder="1" applyAlignment="1">
      <alignment horizontal="center" vertical="center"/>
    </xf>
    <xf numFmtId="0" fontId="0" fillId="0" borderId="11" xfId="0" applyBorder="1"/>
    <xf numFmtId="0" fontId="6" fillId="0" borderId="11" xfId="0" applyFont="1" applyBorder="1" applyAlignment="1">
      <alignment horizontal="left" vertical="center"/>
    </xf>
    <xf numFmtId="0" fontId="25" fillId="0" borderId="11" xfId="0" applyFont="1" applyBorder="1" applyAlignment="1">
      <alignment horizontal="center" vertical="center"/>
    </xf>
    <xf numFmtId="9" fontId="17" fillId="8" borderId="15" xfId="3" applyFont="1" applyFill="1" applyBorder="1" applyAlignment="1" applyProtection="1">
      <alignment horizontal="center" vertical="center"/>
    </xf>
    <xf numFmtId="0" fontId="7" fillId="7" borderId="1" xfId="0" applyFont="1" applyFill="1" applyBorder="1" applyAlignment="1" applyProtection="1">
      <alignment horizontal="left" vertical="center"/>
      <protection locked="0"/>
    </xf>
    <xf numFmtId="0" fontId="0" fillId="0" borderId="11" xfId="0" applyBorder="1" applyAlignment="1">
      <alignment vertical="center"/>
    </xf>
    <xf numFmtId="0" fontId="0" fillId="0" borderId="1" xfId="0" applyBorder="1" applyAlignment="1">
      <alignment horizontal="center" vertical="center"/>
    </xf>
    <xf numFmtId="0" fontId="9" fillId="15" borderId="1" xfId="0" applyFont="1" applyFill="1" applyBorder="1" applyAlignment="1">
      <alignment horizontal="center" vertical="center"/>
    </xf>
    <xf numFmtId="0" fontId="17" fillId="15" borderId="0" xfId="0" applyFont="1" applyFill="1"/>
    <xf numFmtId="0" fontId="42" fillId="0" borderId="0" xfId="0" applyFont="1"/>
    <xf numFmtId="0" fontId="43" fillId="0" borderId="0" xfId="0" applyFont="1"/>
    <xf numFmtId="0" fontId="43" fillId="0" borderId="0" xfId="0" applyFont="1" applyAlignment="1">
      <alignment horizontal="center"/>
    </xf>
    <xf numFmtId="0" fontId="43" fillId="0" borderId="0" xfId="0" applyFont="1" applyAlignment="1">
      <alignment horizontal="left"/>
    </xf>
    <xf numFmtId="0" fontId="43" fillId="10" borderId="0" xfId="0" applyFont="1" applyFill="1" applyAlignment="1">
      <alignment horizontal="left"/>
    </xf>
    <xf numFmtId="0" fontId="15" fillId="4" borderId="0" xfId="0" applyFont="1" applyFill="1"/>
    <xf numFmtId="0" fontId="2" fillId="0" borderId="23" xfId="0" applyFont="1" applyBorder="1"/>
    <xf numFmtId="0" fontId="20" fillId="0" borderId="23" xfId="0" applyFont="1" applyBorder="1"/>
    <xf numFmtId="0" fontId="2" fillId="0" borderId="23" xfId="0" applyFont="1" applyBorder="1" applyAlignment="1">
      <alignment horizontal="center"/>
    </xf>
    <xf numFmtId="0" fontId="2" fillId="0" borderId="23" xfId="0" applyFont="1" applyBorder="1" applyAlignment="1">
      <alignment horizontal="left"/>
    </xf>
    <xf numFmtId="0" fontId="21" fillId="11" borderId="24" xfId="0" applyFont="1" applyFill="1" applyBorder="1"/>
    <xf numFmtId="0" fontId="21" fillId="11" borderId="25" xfId="0" applyFont="1" applyFill="1" applyBorder="1"/>
    <xf numFmtId="0" fontId="0" fillId="12" borderId="20" xfId="0" applyFill="1" applyBorder="1"/>
    <xf numFmtId="0" fontId="0" fillId="12" borderId="22" xfId="0" applyFill="1" applyBorder="1"/>
    <xf numFmtId="0" fontId="21" fillId="11" borderId="26" xfId="0" applyFont="1" applyFill="1" applyBorder="1"/>
    <xf numFmtId="0" fontId="0" fillId="12" borderId="21" xfId="0" applyFill="1" applyBorder="1"/>
    <xf numFmtId="0" fontId="2" fillId="0" borderId="0" xfId="0" applyFont="1" applyAlignment="1">
      <alignment vertical="center" wrapText="1"/>
    </xf>
    <xf numFmtId="0" fontId="6" fillId="0" borderId="0" xfId="0" applyFont="1" applyAlignment="1">
      <alignment horizontal="right" vertical="center"/>
    </xf>
    <xf numFmtId="0" fontId="21" fillId="11" borderId="33" xfId="0" applyFont="1" applyFill="1" applyBorder="1"/>
    <xf numFmtId="0" fontId="0" fillId="0" borderId="11" xfId="0" applyBorder="1" applyAlignment="1">
      <alignment horizontal="right" vertical="center"/>
    </xf>
    <xf numFmtId="0" fontId="2" fillId="10" borderId="12" xfId="0" applyFont="1" applyFill="1" applyBorder="1" applyAlignment="1">
      <alignment horizontal="center"/>
    </xf>
    <xf numFmtId="10" fontId="0" fillId="3" borderId="1" xfId="3" applyNumberFormat="1" applyFont="1" applyFill="1" applyBorder="1" applyAlignment="1" applyProtection="1">
      <alignment horizontal="center" vertical="center"/>
      <protection locked="0"/>
    </xf>
    <xf numFmtId="0" fontId="2" fillId="10" borderId="23" xfId="0" applyFont="1" applyFill="1" applyBorder="1" applyAlignment="1">
      <alignment horizontal="left"/>
    </xf>
    <xf numFmtId="0" fontId="21" fillId="11" borderId="35" xfId="0" applyFont="1" applyFill="1" applyBorder="1"/>
    <xf numFmtId="0" fontId="23" fillId="0" borderId="0" xfId="0" applyFont="1" applyAlignment="1">
      <alignment vertical="center" shrinkToFit="1"/>
    </xf>
    <xf numFmtId="0" fontId="0" fillId="5" borderId="6" xfId="0" applyFill="1" applyBorder="1" applyAlignment="1">
      <alignment horizontal="left"/>
    </xf>
    <xf numFmtId="0" fontId="0" fillId="6" borderId="6" xfId="0" applyFill="1" applyBorder="1" applyAlignment="1">
      <alignment horizontal="left"/>
    </xf>
    <xf numFmtId="0" fontId="2" fillId="0" borderId="0" xfId="0" applyFont="1" applyAlignment="1">
      <alignment vertical="center"/>
    </xf>
    <xf numFmtId="44" fontId="46" fillId="15" borderId="1" xfId="1" applyFont="1" applyFill="1" applyBorder="1" applyAlignment="1" applyProtection="1">
      <alignment vertical="center"/>
    </xf>
    <xf numFmtId="44" fontId="2" fillId="0" borderId="1" xfId="0" applyNumberFormat="1" applyFont="1" applyBorder="1" applyAlignment="1">
      <alignment vertical="center"/>
    </xf>
    <xf numFmtId="0" fontId="5" fillId="22" borderId="1" xfId="0" applyFont="1" applyFill="1" applyBorder="1" applyAlignment="1">
      <alignment horizontal="center" vertical="center"/>
    </xf>
    <xf numFmtId="44" fontId="2" fillId="3" borderId="1" xfId="1" applyFont="1" applyFill="1" applyBorder="1" applyAlignment="1" applyProtection="1">
      <alignment vertical="center"/>
      <protection locked="0"/>
    </xf>
    <xf numFmtId="44" fontId="2" fillId="0" borderId="34" xfId="0" applyNumberFormat="1" applyFont="1" applyBorder="1" applyAlignment="1">
      <alignment vertical="center"/>
    </xf>
    <xf numFmtId="44" fontId="2" fillId="3" borderId="1" xfId="1" applyFont="1" applyFill="1" applyBorder="1" applyAlignment="1" applyProtection="1">
      <alignment horizontal="right" vertical="center"/>
      <protection locked="0"/>
    </xf>
    <xf numFmtId="0" fontId="2" fillId="3" borderId="1" xfId="1" applyNumberFormat="1" applyFont="1" applyFill="1" applyBorder="1" applyAlignment="1" applyProtection="1">
      <alignment horizontal="center" vertical="center"/>
      <protection locked="0"/>
    </xf>
    <xf numFmtId="0" fontId="2" fillId="3" borderId="1" xfId="0" applyFont="1" applyFill="1" applyBorder="1" applyAlignment="1" applyProtection="1">
      <alignment vertical="center"/>
      <protection locked="0"/>
    </xf>
    <xf numFmtId="0" fontId="5" fillId="22" borderId="1" xfId="0" applyFont="1" applyFill="1" applyBorder="1" applyAlignment="1">
      <alignment vertical="center"/>
    </xf>
    <xf numFmtId="44" fontId="2" fillId="3" borderId="4" xfId="1" applyFont="1" applyFill="1" applyBorder="1" applyAlignment="1" applyProtection="1">
      <alignment vertical="center"/>
      <protection locked="0"/>
    </xf>
    <xf numFmtId="44" fontId="2" fillId="3" borderId="1" xfId="0" applyNumberFormat="1" applyFont="1" applyFill="1" applyBorder="1" applyAlignment="1" applyProtection="1">
      <alignment vertical="center"/>
      <protection locked="0"/>
    </xf>
    <xf numFmtId="14" fontId="2" fillId="3" borderId="1" xfId="0" applyNumberFormat="1" applyFont="1" applyFill="1" applyBorder="1" applyAlignment="1" applyProtection="1">
      <alignment horizontal="center" vertical="center"/>
      <protection locked="0"/>
    </xf>
    <xf numFmtId="0" fontId="5" fillId="0" borderId="29" xfId="0" applyFont="1" applyBorder="1" applyAlignment="1">
      <alignment horizontal="right" vertical="center"/>
    </xf>
    <xf numFmtId="0" fontId="5" fillId="24" borderId="39" xfId="0" applyFont="1" applyFill="1" applyBorder="1" applyAlignment="1">
      <alignment horizontal="center" vertical="center"/>
    </xf>
    <xf numFmtId="0" fontId="5" fillId="0" borderId="28" xfId="0" applyFont="1" applyBorder="1" applyAlignment="1">
      <alignment horizontal="right" vertical="center"/>
    </xf>
    <xf numFmtId="0" fontId="2" fillId="0" borderId="8" xfId="0" applyFont="1" applyBorder="1" applyAlignment="1">
      <alignment vertical="center"/>
    </xf>
    <xf numFmtId="44" fontId="2" fillId="0" borderId="40" xfId="0" applyNumberFormat="1" applyFont="1" applyBorder="1" applyAlignment="1">
      <alignment vertical="center"/>
    </xf>
    <xf numFmtId="0" fontId="2" fillId="0" borderId="40" xfId="0" applyFont="1" applyBorder="1" applyAlignment="1">
      <alignment horizontal="center" vertical="center"/>
    </xf>
    <xf numFmtId="44" fontId="2" fillId="3" borderId="40" xfId="1" applyFont="1" applyFill="1" applyBorder="1" applyAlignment="1" applyProtection="1">
      <alignment horizontal="right" vertical="center"/>
      <protection locked="0"/>
    </xf>
    <xf numFmtId="170" fontId="2" fillId="0" borderId="40" xfId="1" applyNumberFormat="1" applyFont="1" applyFill="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0" borderId="34" xfId="0" applyFont="1" applyBorder="1" applyAlignment="1">
      <alignment horizontal="center" vertical="center"/>
    </xf>
    <xf numFmtId="44" fontId="2" fillId="3" borderId="34" xfId="1" applyFont="1" applyFill="1" applyBorder="1" applyAlignment="1" applyProtection="1">
      <alignment horizontal="right" vertical="center"/>
      <protection locked="0"/>
    </xf>
    <xf numFmtId="170" fontId="2" fillId="0" borderId="34" xfId="1" applyNumberFormat="1" applyFont="1" applyFill="1" applyBorder="1" applyAlignment="1" applyProtection="1">
      <alignment horizontal="center" vertical="center"/>
    </xf>
    <xf numFmtId="0" fontId="5" fillId="22" borderId="34" xfId="0" applyFont="1" applyFill="1" applyBorder="1" applyAlignment="1">
      <alignment horizontal="center" vertical="center"/>
    </xf>
    <xf numFmtId="44" fontId="5" fillId="0" borderId="0" xfId="0" applyNumberFormat="1" applyFont="1" applyAlignment="1">
      <alignment vertical="center"/>
    </xf>
    <xf numFmtId="14" fontId="2" fillId="0" borderId="0" xfId="0" applyNumberFormat="1" applyFont="1" applyAlignment="1">
      <alignment horizontal="center" vertical="center"/>
    </xf>
    <xf numFmtId="0" fontId="49" fillId="0" borderId="0" xfId="0" applyFont="1" applyAlignment="1" applyProtection="1">
      <alignment vertical="center"/>
      <protection locked="0"/>
    </xf>
    <xf numFmtId="0" fontId="2" fillId="25" borderId="41" xfId="0" applyFont="1" applyFill="1" applyBorder="1" applyAlignment="1">
      <alignment vertical="center"/>
    </xf>
    <xf numFmtId="44" fontId="5" fillId="25" borderId="41" xfId="0" applyNumberFormat="1" applyFont="1" applyFill="1" applyBorder="1" applyAlignment="1">
      <alignment vertical="center"/>
    </xf>
    <xf numFmtId="0" fontId="2" fillId="25" borderId="41" xfId="0" applyFont="1" applyFill="1" applyBorder="1" applyAlignment="1">
      <alignment horizontal="center" vertical="center"/>
    </xf>
    <xf numFmtId="14" fontId="2" fillId="25" borderId="41" xfId="0" applyNumberFormat="1" applyFont="1" applyFill="1" applyBorder="1" applyAlignment="1">
      <alignment horizontal="center" vertical="center"/>
    </xf>
    <xf numFmtId="0" fontId="2" fillId="25" borderId="41" xfId="0" applyFont="1" applyFill="1" applyBorder="1" applyAlignment="1">
      <alignment horizontal="left" vertical="center"/>
    </xf>
    <xf numFmtId="0" fontId="2" fillId="25" borderId="0" xfId="0" applyFont="1" applyFill="1" applyAlignment="1">
      <alignment vertical="center"/>
    </xf>
    <xf numFmtId="0" fontId="2" fillId="8" borderId="0" xfId="0" applyFont="1" applyFill="1" applyAlignment="1">
      <alignment horizontal="center"/>
    </xf>
    <xf numFmtId="0" fontId="2" fillId="8" borderId="0" xfId="0" applyFont="1" applyFill="1"/>
    <xf numFmtId="0" fontId="2" fillId="8" borderId="0" xfId="0" applyFont="1" applyFill="1" applyAlignment="1">
      <alignment vertical="center"/>
    </xf>
    <xf numFmtId="0" fontId="2" fillId="25" borderId="18" xfId="0" applyFont="1" applyFill="1" applyBorder="1" applyAlignment="1">
      <alignment vertical="center"/>
    </xf>
    <xf numFmtId="0" fontId="2" fillId="3" borderId="1" xfId="0" applyFont="1" applyFill="1" applyBorder="1" applyAlignment="1" applyProtection="1">
      <alignment horizontal="center" vertical="center"/>
      <protection locked="0"/>
    </xf>
    <xf numFmtId="14" fontId="2" fillId="8" borderId="1" xfId="0" applyNumberFormat="1" applyFont="1" applyFill="1" applyBorder="1" applyAlignment="1">
      <alignment horizontal="center" vertical="center"/>
    </xf>
    <xf numFmtId="0" fontId="2" fillId="25" borderId="0" xfId="0" applyFont="1" applyFill="1"/>
    <xf numFmtId="0" fontId="15" fillId="25" borderId="0" xfId="0" applyFont="1" applyFill="1" applyAlignment="1">
      <alignment horizontal="left" vertical="center"/>
    </xf>
    <xf numFmtId="0" fontId="0" fillId="25" borderId="0" xfId="0" applyFill="1" applyAlignment="1">
      <alignment vertical="center"/>
    </xf>
    <xf numFmtId="0" fontId="16" fillId="25" borderId="0" xfId="0" applyFont="1" applyFill="1" applyAlignment="1">
      <alignment vertical="center"/>
    </xf>
    <xf numFmtId="0" fontId="50" fillId="25" borderId="0" xfId="0" applyFont="1" applyFill="1" applyAlignment="1">
      <alignment vertical="center"/>
    </xf>
    <xf numFmtId="0" fontId="52" fillId="26" borderId="0" xfId="0" applyFont="1" applyFill="1" applyAlignment="1">
      <alignment vertical="center"/>
    </xf>
    <xf numFmtId="0" fontId="53" fillId="26" borderId="0" xfId="0" applyFont="1" applyFill="1" applyAlignment="1">
      <alignment horizontal="right" vertical="center"/>
    </xf>
    <xf numFmtId="0" fontId="21" fillId="26" borderId="0" xfId="0" applyFont="1" applyFill="1" applyAlignment="1">
      <alignment vertical="center"/>
    </xf>
    <xf numFmtId="0" fontId="5" fillId="0" borderId="1" xfId="0" applyFont="1" applyBorder="1" applyAlignment="1">
      <alignment horizontal="center" vertical="center"/>
    </xf>
    <xf numFmtId="44" fontId="5" fillId="0" borderId="1" xfId="0" applyNumberFormat="1" applyFont="1" applyBorder="1" applyAlignment="1">
      <alignment vertical="center"/>
    </xf>
    <xf numFmtId="0" fontId="45" fillId="0" borderId="0" xfId="0" applyFont="1" applyProtection="1">
      <protection locked="0"/>
    </xf>
    <xf numFmtId="0" fontId="2" fillId="0" borderId="0" xfId="0" quotePrefix="1" applyFont="1"/>
    <xf numFmtId="0" fontId="0" fillId="0" borderId="0" xfId="0" applyAlignment="1">
      <alignment horizontal="right" vertical="center"/>
    </xf>
    <xf numFmtId="14" fontId="2" fillId="10" borderId="0" xfId="0" applyNumberFormat="1" applyFont="1" applyFill="1" applyAlignment="1">
      <alignment horizontal="left"/>
    </xf>
    <xf numFmtId="44" fontId="2" fillId="10" borderId="0" xfId="0" applyNumberFormat="1" applyFont="1" applyFill="1" applyAlignment="1">
      <alignment horizontal="left"/>
    </xf>
    <xf numFmtId="49" fontId="2" fillId="10" borderId="0" xfId="0" applyNumberFormat="1" applyFont="1" applyFill="1" applyAlignment="1">
      <alignment horizontal="left"/>
    </xf>
    <xf numFmtId="1" fontId="2" fillId="10" borderId="0" xfId="0" applyNumberFormat="1" applyFont="1" applyFill="1" applyAlignment="1">
      <alignment horizontal="left"/>
    </xf>
    <xf numFmtId="9" fontId="2" fillId="10" borderId="0" xfId="0" applyNumberFormat="1" applyFont="1" applyFill="1" applyAlignment="1">
      <alignment horizontal="left"/>
    </xf>
    <xf numFmtId="0" fontId="21" fillId="17" borderId="1" xfId="0" quotePrefix="1" applyFont="1" applyFill="1" applyBorder="1" applyAlignment="1">
      <alignment horizontal="left" vertical="center"/>
    </xf>
    <xf numFmtId="0" fontId="28" fillId="13" borderId="1" xfId="0" applyFont="1" applyFill="1" applyBorder="1" applyAlignment="1">
      <alignment horizontal="left" vertical="center"/>
    </xf>
    <xf numFmtId="0" fontId="55" fillId="25" borderId="0" xfId="0" applyFont="1" applyFill="1" applyAlignment="1">
      <alignment vertical="center"/>
    </xf>
    <xf numFmtId="0" fontId="0" fillId="0" borderId="0" xfId="0" applyAlignment="1">
      <alignment horizontal="left" vertical="center" wrapText="1"/>
    </xf>
    <xf numFmtId="0" fontId="0" fillId="0" borderId="8" xfId="0" applyBorder="1" applyAlignment="1">
      <alignment vertical="center"/>
    </xf>
    <xf numFmtId="0" fontId="0" fillId="0" borderId="8" xfId="0" applyBorder="1" applyAlignment="1">
      <alignment horizontal="center" vertical="center"/>
    </xf>
    <xf numFmtId="0" fontId="0" fillId="0" borderId="0" xfId="0" applyAlignment="1">
      <alignment vertical="center" wrapText="1"/>
    </xf>
    <xf numFmtId="0" fontId="5" fillId="0" borderId="0" xfId="0" applyFont="1" applyAlignment="1">
      <alignment horizontal="left" vertical="center" indent="1"/>
    </xf>
    <xf numFmtId="0" fontId="9" fillId="0" borderId="0" xfId="0" applyFont="1" applyAlignment="1">
      <alignment vertical="center" wrapText="1"/>
    </xf>
    <xf numFmtId="0" fontId="0" fillId="0" borderId="0" xfId="0" applyAlignment="1" applyProtection="1">
      <alignment vertical="center"/>
      <protection locked="0"/>
    </xf>
    <xf numFmtId="0" fontId="2" fillId="27" borderId="0" xfId="0" applyFont="1" applyFill="1"/>
    <xf numFmtId="0" fontId="49" fillId="27" borderId="0" xfId="0" applyFont="1" applyFill="1"/>
    <xf numFmtId="0" fontId="22" fillId="27" borderId="0" xfId="0" applyFont="1" applyFill="1" applyAlignment="1">
      <alignment horizontal="center"/>
    </xf>
    <xf numFmtId="0" fontId="2" fillId="27" borderId="0" xfId="0" applyFont="1" applyFill="1" applyAlignment="1">
      <alignment horizontal="left"/>
    </xf>
    <xf numFmtId="1" fontId="0" fillId="3" borderId="1" xfId="0" applyNumberFormat="1" applyFill="1" applyBorder="1" applyAlignment="1" applyProtection="1">
      <alignment horizontal="center" vertical="center"/>
      <protection locked="0"/>
    </xf>
    <xf numFmtId="0" fontId="57" fillId="0" borderId="0" xfId="0" applyFont="1" applyAlignment="1">
      <alignment vertical="center"/>
    </xf>
    <xf numFmtId="173" fontId="0" fillId="3" borderId="1" xfId="3" applyNumberFormat="1" applyFont="1" applyFill="1" applyBorder="1" applyAlignment="1" applyProtection="1">
      <alignment horizontal="center" vertical="center"/>
      <protection locked="0"/>
    </xf>
    <xf numFmtId="0" fontId="0" fillId="12" borderId="35" xfId="0" applyFill="1" applyBorder="1"/>
    <xf numFmtId="0" fontId="58" fillId="0" borderId="0" xfId="0" applyFont="1"/>
    <xf numFmtId="0" fontId="49" fillId="27" borderId="0" xfId="0" applyFont="1" applyFill="1" applyAlignment="1">
      <alignment horizontal="left"/>
    </xf>
    <xf numFmtId="0" fontId="49" fillId="27" borderId="0" xfId="0" applyFont="1" applyFill="1" applyAlignment="1">
      <alignment horizontal="center"/>
    </xf>
    <xf numFmtId="0" fontId="2" fillId="27" borderId="0" xfId="0" applyFont="1" applyFill="1" applyAlignment="1">
      <alignment horizontal="center"/>
    </xf>
    <xf numFmtId="0" fontId="7" fillId="28" borderId="1" xfId="0" applyFont="1" applyFill="1" applyBorder="1" applyAlignment="1">
      <alignment horizontal="left" vertical="center" indent="1"/>
    </xf>
    <xf numFmtId="0" fontId="7" fillId="28" borderId="1" xfId="0" applyFont="1" applyFill="1" applyBorder="1" applyAlignment="1">
      <alignment horizontal="left" vertical="center"/>
    </xf>
    <xf numFmtId="171" fontId="0" fillId="3" borderId="1" xfId="1" applyNumberFormat="1" applyFont="1" applyFill="1" applyBorder="1" applyAlignment="1" applyProtection="1">
      <alignment horizontal="centerContinuous" vertical="center"/>
      <protection locked="0"/>
    </xf>
    <xf numFmtId="171" fontId="0" fillId="3" borderId="1" xfId="1" applyNumberFormat="1" applyFont="1" applyFill="1" applyBorder="1" applyAlignment="1" applyProtection="1">
      <alignment horizontal="centerContinuous" vertical="center"/>
    </xf>
    <xf numFmtId="9" fontId="5" fillId="22" borderId="1" xfId="0" applyNumberFormat="1" applyFont="1" applyFill="1" applyBorder="1" applyAlignment="1">
      <alignment horizontal="center" vertical="center"/>
    </xf>
    <xf numFmtId="0" fontId="5" fillId="22" borderId="1" xfId="0" applyFont="1" applyFill="1" applyBorder="1" applyAlignment="1">
      <alignment horizontal="left" vertical="center" indent="1"/>
    </xf>
    <xf numFmtId="0" fontId="2" fillId="0" borderId="1" xfId="0" applyFont="1" applyBorder="1" applyAlignment="1">
      <alignment horizontal="left" vertical="center" indent="1"/>
    </xf>
    <xf numFmtId="0" fontId="21" fillId="26" borderId="0" xfId="0" applyFont="1" applyFill="1" applyAlignment="1">
      <alignment horizontal="right" vertical="center"/>
    </xf>
    <xf numFmtId="0" fontId="14" fillId="25" borderId="0" xfId="0" applyFont="1" applyFill="1" applyAlignment="1">
      <alignment horizontal="left" vertical="center"/>
    </xf>
    <xf numFmtId="174" fontId="2" fillId="0" borderId="1" xfId="0" applyNumberFormat="1" applyFont="1" applyBorder="1" applyAlignment="1">
      <alignment horizontal="center" vertical="center"/>
    </xf>
    <xf numFmtId="10" fontId="0" fillId="0" borderId="0" xfId="3" applyNumberFormat="1" applyFont="1" applyFill="1" applyBorder="1" applyAlignment="1" applyProtection="1">
      <alignment horizontal="center" vertical="center"/>
    </xf>
    <xf numFmtId="0" fontId="12" fillId="0" borderId="0" xfId="0" applyFont="1" applyAlignment="1" applyProtection="1">
      <alignment horizontal="center" wrapText="1"/>
      <protection hidden="1"/>
    </xf>
    <xf numFmtId="0" fontId="12" fillId="0" borderId="0" xfId="0" applyFont="1" applyAlignment="1" applyProtection="1">
      <alignment horizontal="center"/>
      <protection hidden="1"/>
    </xf>
    <xf numFmtId="0" fontId="31" fillId="15" borderId="0" xfId="2" applyFont="1" applyFill="1" applyBorder="1" applyAlignment="1" applyProtection="1">
      <alignment horizontal="left" vertical="center"/>
      <protection hidden="1"/>
    </xf>
    <xf numFmtId="0" fontId="32" fillId="15" borderId="0" xfId="0" applyFont="1" applyFill="1" applyAlignment="1" applyProtection="1">
      <alignment horizontal="left" vertical="center"/>
      <protection hidden="1"/>
    </xf>
    <xf numFmtId="0" fontId="9" fillId="0" borderId="0" xfId="0" applyFont="1" applyAlignment="1" applyProtection="1">
      <alignment horizontal="center" vertical="center"/>
      <protection hidden="1"/>
    </xf>
    <xf numFmtId="0" fontId="54" fillId="2" borderId="0" xfId="2" applyFont="1" applyFill="1" applyBorder="1" applyAlignment="1" applyProtection="1">
      <alignment horizontal="center" vertical="center" wrapText="1"/>
      <protection hidden="1"/>
    </xf>
    <xf numFmtId="0" fontId="15" fillId="20" borderId="18" xfId="0" applyFont="1" applyFill="1" applyBorder="1" applyAlignment="1" applyProtection="1">
      <alignment horizontal="right" vertical="center" indent="1"/>
      <protection hidden="1"/>
    </xf>
    <xf numFmtId="0" fontId="15" fillId="20" borderId="0" xfId="0" applyFont="1" applyFill="1" applyAlignment="1" applyProtection="1">
      <alignment horizontal="right" vertical="center" indent="1"/>
      <protection hidden="1"/>
    </xf>
    <xf numFmtId="0" fontId="36" fillId="0" borderId="0" xfId="0" applyFont="1" applyAlignment="1" applyProtection="1">
      <alignment horizontal="left" vertical="center" indent="3"/>
      <protection hidden="1"/>
    </xf>
    <xf numFmtId="0" fontId="40" fillId="0" borderId="0" xfId="0" applyFont="1" applyAlignment="1" applyProtection="1">
      <alignment horizontal="left" vertical="center"/>
      <protection hidden="1"/>
    </xf>
    <xf numFmtId="0" fontId="14" fillId="14" borderId="18" xfId="0" applyFont="1" applyFill="1" applyBorder="1" applyAlignment="1" applyProtection="1">
      <alignment horizontal="left" vertical="center"/>
      <protection hidden="1"/>
    </xf>
    <xf numFmtId="0" fontId="14" fillId="14" borderId="0" xfId="0" applyFont="1" applyFill="1" applyAlignment="1" applyProtection="1">
      <alignment horizontal="left" vertical="center"/>
      <protection hidden="1"/>
    </xf>
    <xf numFmtId="0" fontId="38" fillId="0" borderId="0" xfId="0" applyFont="1" applyAlignment="1" applyProtection="1">
      <alignment horizontal="left" vertical="top" wrapText="1"/>
      <protection hidden="1"/>
    </xf>
    <xf numFmtId="0" fontId="0" fillId="0" borderId="0" xfId="0" applyAlignment="1">
      <alignment horizontal="left" vertical="center" wrapText="1"/>
    </xf>
    <xf numFmtId="0" fontId="0" fillId="3" borderId="2" xfId="0" applyFill="1" applyBorder="1" applyAlignment="1" applyProtection="1">
      <alignment horizontal="left" vertical="center" indent="1"/>
      <protection locked="0"/>
    </xf>
    <xf numFmtId="0" fontId="0" fillId="3" borderId="3" xfId="0" applyFill="1" applyBorder="1" applyAlignment="1" applyProtection="1">
      <alignment horizontal="left" vertical="center" indent="1"/>
      <protection locked="0"/>
    </xf>
    <xf numFmtId="0" fontId="0" fillId="3" borderId="4" xfId="0" applyFill="1" applyBorder="1" applyAlignment="1" applyProtection="1">
      <alignment horizontal="left" vertical="center" indent="1"/>
      <protection locked="0"/>
    </xf>
    <xf numFmtId="0" fontId="23" fillId="0" borderId="0" xfId="0" applyFont="1" applyAlignment="1">
      <alignment horizontal="center" vertical="center" shrinkToFit="1"/>
    </xf>
    <xf numFmtId="165" fontId="0" fillId="3" borderId="2" xfId="0" applyNumberFormat="1" applyFill="1" applyBorder="1" applyAlignment="1" applyProtection="1">
      <alignment horizontal="left" vertical="center" indent="1"/>
      <protection locked="0"/>
    </xf>
    <xf numFmtId="165" fontId="0" fillId="3" borderId="3" xfId="0" applyNumberFormat="1" applyFill="1" applyBorder="1" applyAlignment="1" applyProtection="1">
      <alignment horizontal="left" vertical="center" indent="1"/>
      <protection locked="0"/>
    </xf>
    <xf numFmtId="165" fontId="0" fillId="3" borderId="4" xfId="0" applyNumberFormat="1" applyFill="1" applyBorder="1" applyAlignment="1" applyProtection="1">
      <alignment horizontal="left" vertical="center" indent="1"/>
      <protection locked="0"/>
    </xf>
    <xf numFmtId="49" fontId="0" fillId="3" borderId="1" xfId="0" applyNumberFormat="1" applyFill="1" applyBorder="1" applyAlignment="1" applyProtection="1">
      <alignment horizontal="left" vertical="center" indent="1"/>
      <protection locked="0"/>
    </xf>
    <xf numFmtId="168" fontId="0" fillId="3" borderId="2" xfId="0" applyNumberFormat="1" applyFill="1" applyBorder="1" applyAlignment="1" applyProtection="1">
      <alignment horizontal="left" vertical="center" indent="1"/>
      <protection locked="0"/>
    </xf>
    <xf numFmtId="168" fontId="0" fillId="3" borderId="3" xfId="0" applyNumberFormat="1" applyFill="1" applyBorder="1" applyAlignment="1" applyProtection="1">
      <alignment horizontal="left" vertical="center" indent="1"/>
      <protection locked="0"/>
    </xf>
    <xf numFmtId="168" fontId="0" fillId="3" borderId="4" xfId="0" applyNumberFormat="1" applyFill="1" applyBorder="1" applyAlignment="1" applyProtection="1">
      <alignment horizontal="left" vertical="center" indent="1"/>
      <protection locked="0"/>
    </xf>
    <xf numFmtId="14" fontId="0" fillId="3" borderId="2" xfId="0" applyNumberFormat="1" applyFill="1" applyBorder="1" applyAlignment="1" applyProtection="1">
      <alignment horizontal="center" vertical="center"/>
      <protection locked="0"/>
    </xf>
    <xf numFmtId="14" fontId="0" fillId="3" borderId="3" xfId="0" applyNumberFormat="1" applyFill="1" applyBorder="1" applyAlignment="1" applyProtection="1">
      <alignment horizontal="center" vertical="center"/>
      <protection locked="0"/>
    </xf>
    <xf numFmtId="14" fontId="0" fillId="3" borderId="4"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49" fontId="0" fillId="3" borderId="1" xfId="1" applyNumberFormat="1" applyFont="1" applyFill="1" applyBorder="1" applyAlignment="1" applyProtection="1">
      <alignment horizontal="left" vertical="center" indent="1"/>
      <protection locked="0"/>
    </xf>
    <xf numFmtId="44" fontId="0" fillId="3" borderId="1" xfId="1" applyFont="1" applyFill="1" applyBorder="1" applyAlignment="1" applyProtection="1">
      <alignment horizontal="center" vertical="center"/>
      <protection locked="0"/>
    </xf>
    <xf numFmtId="0" fontId="23" fillId="0" borderId="8" xfId="0" applyFont="1" applyBorder="1" applyAlignment="1">
      <alignment horizontal="center" vertical="center" wrapText="1" shrinkToFit="1"/>
    </xf>
    <xf numFmtId="0" fontId="23" fillId="0" borderId="0" xfId="0" applyFont="1" applyAlignment="1">
      <alignment horizontal="center" vertical="center" wrapText="1" shrinkToFit="1"/>
    </xf>
    <xf numFmtId="0" fontId="28"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indent="1"/>
    </xf>
    <xf numFmtId="0" fontId="2" fillId="18" borderId="2" xfId="0" applyFont="1" applyFill="1" applyBorder="1" applyAlignment="1">
      <alignment horizontal="center" vertical="center"/>
    </xf>
    <xf numFmtId="0" fontId="2" fillId="18" borderId="3" xfId="0" applyFont="1" applyFill="1" applyBorder="1" applyAlignment="1">
      <alignment horizontal="center" vertical="center"/>
    </xf>
    <xf numFmtId="0" fontId="2" fillId="18" borderId="4" xfId="0" applyFont="1" applyFill="1" applyBorder="1" applyAlignment="1">
      <alignment horizontal="center" vertical="center"/>
    </xf>
    <xf numFmtId="0" fontId="2" fillId="0" borderId="17" xfId="0" applyFont="1" applyBorder="1" applyAlignment="1">
      <alignment horizontal="left" vertical="center" wrapText="1"/>
    </xf>
    <xf numFmtId="0" fontId="9" fillId="15" borderId="1" xfId="0" applyFont="1" applyFill="1" applyBorder="1" applyAlignment="1">
      <alignment horizontal="left" vertical="center" indent="1"/>
    </xf>
    <xf numFmtId="0" fontId="0" fillId="0" borderId="2" xfId="0" applyBorder="1" applyAlignment="1">
      <alignment horizontal="center" vertical="center"/>
    </xf>
    <xf numFmtId="0" fontId="0" fillId="0" borderId="4" xfId="0" applyBorder="1" applyAlignment="1">
      <alignment horizontal="center" vertical="center"/>
    </xf>
    <xf numFmtId="44" fontId="0" fillId="8" borderId="1" xfId="1" applyFont="1" applyFill="1" applyBorder="1" applyAlignment="1" applyProtection="1">
      <alignment horizontal="center" vertical="center"/>
    </xf>
    <xf numFmtId="0" fontId="9" fillId="15" borderId="2" xfId="0" applyFont="1" applyFill="1" applyBorder="1" applyAlignment="1">
      <alignment horizontal="center" vertical="center"/>
    </xf>
    <xf numFmtId="0" fontId="9" fillId="15" borderId="4" xfId="0" applyFont="1" applyFill="1" applyBorder="1" applyAlignment="1">
      <alignment horizontal="center" vertical="center"/>
    </xf>
    <xf numFmtId="0" fontId="9" fillId="15" borderId="2" xfId="0" applyFont="1" applyFill="1" applyBorder="1" applyAlignment="1">
      <alignment horizontal="left" vertical="center" indent="1"/>
    </xf>
    <xf numFmtId="0" fontId="9" fillId="15" borderId="3" xfId="0" applyFont="1" applyFill="1" applyBorder="1" applyAlignment="1">
      <alignment horizontal="left" vertical="center" indent="1"/>
    </xf>
    <xf numFmtId="0" fontId="9" fillId="15" borderId="4" xfId="0" applyFont="1" applyFill="1" applyBorder="1" applyAlignment="1">
      <alignment horizontal="left" vertical="center" indent="1"/>
    </xf>
    <xf numFmtId="0" fontId="0" fillId="3" borderId="27" xfId="0" applyFill="1" applyBorder="1" applyAlignment="1" applyProtection="1">
      <alignment horizontal="left" vertical="center" indent="1" shrinkToFit="1"/>
      <protection locked="0"/>
    </xf>
    <xf numFmtId="0" fontId="0" fillId="3" borderId="8" xfId="0" applyFill="1" applyBorder="1" applyAlignment="1" applyProtection="1">
      <alignment horizontal="left" vertical="center" indent="1" shrinkToFit="1"/>
      <protection locked="0"/>
    </xf>
    <xf numFmtId="0" fontId="0" fillId="3" borderId="2" xfId="0" applyFill="1" applyBorder="1" applyAlignment="1" applyProtection="1">
      <alignment horizontal="left" vertical="center" indent="1" shrinkToFit="1"/>
      <protection locked="0"/>
    </xf>
    <xf numFmtId="0" fontId="0" fillId="3" borderId="3" xfId="0" applyFill="1" applyBorder="1" applyAlignment="1" applyProtection="1">
      <alignment horizontal="left" vertical="center" indent="1" shrinkToFit="1"/>
      <protection locked="0"/>
    </xf>
    <xf numFmtId="0" fontId="0" fillId="3" borderId="1" xfId="0" applyFill="1" applyBorder="1" applyAlignment="1" applyProtection="1">
      <alignment horizontal="left" vertical="center" indent="1"/>
      <protection locked="0"/>
    </xf>
    <xf numFmtId="0" fontId="23" fillId="0" borderId="8" xfId="0" applyFont="1" applyBorder="1" applyAlignment="1">
      <alignment horizontal="center" vertical="center" shrinkToFit="1"/>
    </xf>
    <xf numFmtId="49" fontId="0" fillId="3" borderId="2"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44" fontId="0" fillId="8" borderId="2" xfId="1" applyFont="1" applyFill="1" applyBorder="1" applyAlignment="1" applyProtection="1">
      <alignment horizontal="center" vertical="center"/>
    </xf>
    <xf numFmtId="44" fontId="0" fillId="8" borderId="3" xfId="1" applyFont="1" applyFill="1" applyBorder="1" applyAlignment="1" applyProtection="1">
      <alignment horizontal="center" vertical="center"/>
    </xf>
    <xf numFmtId="44" fontId="0" fillId="8" borderId="4" xfId="1" applyFont="1" applyFill="1" applyBorder="1" applyAlignment="1" applyProtection="1">
      <alignment horizontal="center" vertical="center"/>
    </xf>
    <xf numFmtId="10" fontId="0" fillId="0" borderId="2" xfId="3" applyNumberFormat="1" applyFont="1" applyFill="1" applyBorder="1" applyAlignment="1" applyProtection="1">
      <alignment horizontal="center" vertical="center"/>
    </xf>
    <xf numFmtId="10" fontId="0" fillId="0" borderId="3" xfId="3" applyNumberFormat="1" applyFont="1" applyFill="1" applyBorder="1" applyAlignment="1" applyProtection="1">
      <alignment horizontal="center" vertical="center"/>
    </xf>
    <xf numFmtId="10" fontId="0" fillId="0" borderId="4" xfId="3" applyNumberFormat="1" applyFont="1" applyFill="1" applyBorder="1" applyAlignment="1" applyProtection="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44" fontId="0" fillId="3" borderId="2" xfId="1" applyFont="1" applyFill="1" applyBorder="1" applyAlignment="1" applyProtection="1">
      <alignment horizontal="right" vertical="center"/>
      <protection locked="0"/>
    </xf>
    <xf numFmtId="44" fontId="0" fillId="3" borderId="3" xfId="1" applyFont="1" applyFill="1" applyBorder="1" applyAlignment="1" applyProtection="1">
      <alignment horizontal="right" vertical="center"/>
      <protection locked="0"/>
    </xf>
    <xf numFmtId="44" fontId="0" fillId="3" borderId="1" xfId="1" applyFont="1" applyFill="1" applyBorder="1" applyAlignment="1" applyProtection="1">
      <alignment horizontal="right" vertical="center"/>
      <protection locked="0"/>
    </xf>
    <xf numFmtId="0" fontId="9" fillId="15" borderId="34" xfId="0" applyFont="1" applyFill="1" applyBorder="1" applyAlignment="1">
      <alignment horizontal="left" vertical="center" indent="1"/>
    </xf>
    <xf numFmtId="1" fontId="0" fillId="3" borderId="2" xfId="0" applyNumberFormat="1" applyFill="1" applyBorder="1" applyAlignment="1" applyProtection="1">
      <alignment horizontal="center" vertical="center"/>
      <protection locked="0"/>
    </xf>
    <xf numFmtId="1" fontId="0" fillId="3" borderId="3" xfId="0" applyNumberFormat="1" applyFill="1" applyBorder="1" applyAlignment="1" applyProtection="1">
      <alignment horizontal="center" vertical="center"/>
      <protection locked="0"/>
    </xf>
    <xf numFmtId="1" fontId="0" fillId="3" borderId="4" xfId="0" applyNumberFormat="1" applyFill="1" applyBorder="1" applyAlignment="1" applyProtection="1">
      <alignment horizontal="center" vertical="center"/>
      <protection locked="0"/>
    </xf>
    <xf numFmtId="173" fontId="0" fillId="3" borderId="2" xfId="3" applyNumberFormat="1" applyFont="1" applyFill="1" applyBorder="1" applyAlignment="1" applyProtection="1">
      <alignment horizontal="center" vertical="center"/>
      <protection locked="0"/>
    </xf>
    <xf numFmtId="173" fontId="0" fillId="3" borderId="3" xfId="3" applyNumberFormat="1" applyFont="1" applyFill="1" applyBorder="1" applyAlignment="1" applyProtection="1">
      <alignment horizontal="center" vertical="center"/>
      <protection locked="0"/>
    </xf>
    <xf numFmtId="173" fontId="0" fillId="3" borderId="4" xfId="3"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28"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0" fontId="0" fillId="3" borderId="31" xfId="0" applyFill="1" applyBorder="1" applyAlignment="1" applyProtection="1">
      <alignment horizontal="left" vertical="top" wrapText="1"/>
      <protection locked="0"/>
    </xf>
    <xf numFmtId="0" fontId="0" fillId="3" borderId="32" xfId="0" applyFill="1" applyBorder="1" applyAlignment="1" applyProtection="1">
      <alignment horizontal="left" vertical="top" wrapText="1"/>
      <protection locked="0"/>
    </xf>
    <xf numFmtId="44" fontId="0" fillId="8" borderId="1" xfId="1" applyFont="1" applyFill="1" applyBorder="1" applyAlignment="1" applyProtection="1">
      <alignment horizontal="right" vertical="center"/>
    </xf>
    <xf numFmtId="0" fontId="9" fillId="0" borderId="0" xfId="0" applyFont="1" applyAlignment="1">
      <alignment horizontal="left" wrapText="1"/>
    </xf>
    <xf numFmtId="0" fontId="5" fillId="15" borderId="1" xfId="0" applyFont="1" applyFill="1" applyBorder="1" applyAlignment="1">
      <alignment horizontal="left" vertical="center"/>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5" fillId="22" borderId="1"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46" fillId="15" borderId="1" xfId="0" applyFont="1" applyFill="1" applyBorder="1" applyAlignment="1">
      <alignment horizontal="right" vertical="center" indent="1"/>
    </xf>
    <xf numFmtId="0" fontId="2" fillId="3" borderId="2"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14" fontId="2" fillId="3" borderId="1" xfId="0" applyNumberFormat="1"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44" fontId="2" fillId="0" borderId="34" xfId="0" applyNumberFormat="1" applyFont="1" applyBorder="1" applyAlignment="1">
      <alignment horizontal="center" vertical="center"/>
    </xf>
    <xf numFmtId="44" fontId="2" fillId="0" borderId="38" xfId="0" applyNumberFormat="1" applyFont="1" applyBorder="1" applyAlignment="1">
      <alignment horizontal="center" vertical="center"/>
    </xf>
    <xf numFmtId="44" fontId="2" fillId="0" borderId="37" xfId="0" applyNumberFormat="1" applyFont="1" applyBorder="1" applyAlignment="1">
      <alignment horizontal="center" vertical="center"/>
    </xf>
    <xf numFmtId="44" fontId="2" fillId="0" borderId="1" xfId="1" applyFont="1" applyBorder="1" applyAlignment="1" applyProtection="1">
      <alignment horizontal="center" vertical="center"/>
    </xf>
    <xf numFmtId="44" fontId="2" fillId="3" borderId="1" xfId="0" applyNumberFormat="1" applyFont="1" applyFill="1" applyBorder="1" applyAlignment="1" applyProtection="1">
      <alignment horizontal="center" vertical="center"/>
      <protection locked="0"/>
    </xf>
    <xf numFmtId="0" fontId="5" fillId="22" borderId="2" xfId="0" applyFont="1" applyFill="1" applyBorder="1" applyAlignment="1">
      <alignment horizontal="left" vertical="center"/>
    </xf>
    <xf numFmtId="0" fontId="5" fillId="22" borderId="3" xfId="0" applyFont="1" applyFill="1" applyBorder="1" applyAlignment="1">
      <alignment horizontal="left" vertical="center"/>
    </xf>
    <xf numFmtId="0" fontId="5" fillId="22" borderId="4" xfId="0" applyFont="1" applyFill="1" applyBorder="1" applyAlignment="1">
      <alignment horizontal="left" vertical="center"/>
    </xf>
    <xf numFmtId="0" fontId="2" fillId="3" borderId="3" xfId="0" applyFont="1" applyFill="1" applyBorder="1" applyAlignment="1" applyProtection="1">
      <alignment horizontal="left" vertical="center"/>
      <protection locked="0"/>
    </xf>
    <xf numFmtId="0" fontId="5" fillId="22" borderId="1" xfId="0" applyFont="1" applyFill="1" applyBorder="1" applyAlignment="1">
      <alignment horizontal="left" vertical="center"/>
    </xf>
    <xf numFmtId="0" fontId="48" fillId="0" borderId="2" xfId="0" applyFont="1" applyBorder="1" applyAlignment="1">
      <alignment horizontal="left" vertical="top" wrapText="1"/>
    </xf>
    <xf numFmtId="0" fontId="48" fillId="0" borderId="3" xfId="0" applyFont="1" applyBorder="1" applyAlignment="1">
      <alignment horizontal="left" vertical="top" wrapText="1"/>
    </xf>
    <xf numFmtId="0" fontId="48" fillId="0" borderId="4" xfId="0" applyFont="1" applyBorder="1" applyAlignment="1">
      <alignment horizontal="left" vertical="top" wrapText="1"/>
    </xf>
    <xf numFmtId="0" fontId="15" fillId="23" borderId="0" xfId="0" applyFont="1" applyFill="1" applyAlignment="1">
      <alignment horizontal="left" vertical="center"/>
    </xf>
    <xf numFmtId="0" fontId="2" fillId="0" borderId="3" xfId="0" applyFont="1" applyBorder="1"/>
    <xf numFmtId="0" fontId="2" fillId="0" borderId="4" xfId="0" applyFont="1" applyBorder="1"/>
    <xf numFmtId="0" fontId="55" fillId="25" borderId="0" xfId="0" applyFont="1" applyFill="1" applyAlignment="1">
      <alignment horizontal="left" vertical="top" wrapText="1"/>
    </xf>
    <xf numFmtId="0" fontId="2" fillId="8" borderId="2" xfId="0" applyFont="1" applyFill="1" applyBorder="1" applyAlignment="1">
      <alignment horizontal="left" vertical="center"/>
    </xf>
    <xf numFmtId="0" fontId="2" fillId="8" borderId="3" xfId="0" applyFont="1" applyFill="1" applyBorder="1" applyAlignment="1">
      <alignment horizontal="left" vertical="center"/>
    </xf>
    <xf numFmtId="0" fontId="2" fillId="8" borderId="4" xfId="0" applyFont="1" applyFill="1" applyBorder="1" applyAlignment="1">
      <alignment horizontal="left" vertical="center"/>
    </xf>
    <xf numFmtId="0" fontId="2" fillId="8" borderId="2" xfId="0" applyFont="1" applyFill="1" applyBorder="1" applyAlignment="1">
      <alignment horizontal="left" vertical="center" indent="1"/>
    </xf>
    <xf numFmtId="0" fontId="2" fillId="8" borderId="3" xfId="0" applyFont="1" applyFill="1" applyBorder="1" applyAlignment="1">
      <alignment horizontal="left" vertical="center" indent="1"/>
    </xf>
    <xf numFmtId="0" fontId="2" fillId="8" borderId="4" xfId="0" applyFont="1" applyFill="1" applyBorder="1" applyAlignment="1">
      <alignment horizontal="left" vertical="center" indent="1"/>
    </xf>
    <xf numFmtId="172" fontId="48" fillId="8" borderId="0" xfId="0" applyNumberFormat="1" applyFont="1" applyFill="1" applyAlignment="1">
      <alignment horizontal="left" vertical="center"/>
    </xf>
    <xf numFmtId="172" fontId="48" fillId="8" borderId="29" xfId="0" applyNumberFormat="1" applyFont="1" applyFill="1" applyBorder="1" applyAlignment="1">
      <alignment horizontal="left" vertical="center"/>
    </xf>
    <xf numFmtId="44" fontId="2" fillId="0" borderId="29" xfId="0" applyNumberFormat="1" applyFont="1" applyBorder="1" applyAlignment="1">
      <alignment horizontal="center" vertical="center"/>
    </xf>
    <xf numFmtId="44" fontId="2" fillId="0" borderId="32" xfId="0" applyNumberFormat="1" applyFont="1" applyBorder="1" applyAlignment="1">
      <alignment horizontal="center" vertical="center"/>
    </xf>
    <xf numFmtId="0" fontId="2" fillId="0" borderId="0" xfId="0" applyFont="1" applyAlignment="1">
      <alignment horizontal="left" vertical="top" wrapText="1"/>
    </xf>
    <xf numFmtId="0" fontId="56" fillId="2" borderId="0" xfId="2" applyFont="1" applyFill="1" applyBorder="1" applyAlignment="1" applyProtection="1">
      <alignment horizontal="center" vertical="center" wrapText="1"/>
      <protection hidden="1"/>
    </xf>
    <xf numFmtId="0" fontId="47" fillId="15" borderId="1" xfId="0" applyFont="1" applyFill="1" applyBorder="1" applyAlignment="1">
      <alignment horizontal="left" vertical="center"/>
    </xf>
    <xf numFmtId="0" fontId="15" fillId="23" borderId="1" xfId="0" applyFont="1" applyFill="1" applyBorder="1" applyAlignment="1">
      <alignment horizontal="center" vertical="center"/>
    </xf>
    <xf numFmtId="0" fontId="2" fillId="3" borderId="1" xfId="0" applyFont="1" applyFill="1" applyBorder="1" applyAlignment="1" applyProtection="1">
      <alignment horizontal="left" vertical="center" indent="1"/>
      <protection locked="0"/>
    </xf>
    <xf numFmtId="9" fontId="0" fillId="3" borderId="42" xfId="3" applyFont="1" applyFill="1" applyBorder="1" applyAlignment="1" applyProtection="1">
      <alignment horizontal="center" vertical="center"/>
      <protection locked="0"/>
    </xf>
    <xf numFmtId="9" fontId="0" fillId="3" borderId="43" xfId="3" applyFont="1" applyFill="1" applyBorder="1" applyAlignment="1" applyProtection="1">
      <alignment horizontal="center" vertical="center"/>
      <protection locked="0"/>
    </xf>
    <xf numFmtId="9" fontId="0" fillId="3" borderId="44" xfId="3" applyFont="1" applyFill="1" applyBorder="1" applyAlignment="1" applyProtection="1">
      <alignment horizontal="center" vertical="center"/>
      <protection locked="0"/>
    </xf>
    <xf numFmtId="0" fontId="0" fillId="3" borderId="1"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3" fontId="0" fillId="3" borderId="2" xfId="0" applyNumberFormat="1" applyFill="1" applyBorder="1" applyAlignment="1" applyProtection="1">
      <alignment horizontal="center" vertical="center"/>
      <protection locked="0"/>
    </xf>
    <xf numFmtId="3" fontId="0" fillId="3" borderId="3" xfId="0" applyNumberFormat="1" applyFill="1" applyBorder="1" applyAlignment="1" applyProtection="1">
      <alignment horizontal="center" vertical="center"/>
      <protection locked="0"/>
    </xf>
    <xf numFmtId="3" fontId="0" fillId="3" borderId="4" xfId="0" applyNumberFormat="1" applyFill="1" applyBorder="1" applyAlignment="1" applyProtection="1">
      <alignment horizontal="center" vertical="center"/>
      <protection locked="0"/>
    </xf>
    <xf numFmtId="169" fontId="0" fillId="3" borderId="19" xfId="0" applyNumberFormat="1"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170" fontId="0" fillId="3" borderId="36" xfId="0" applyNumberFormat="1" applyFill="1" applyBorder="1" applyAlignment="1" applyProtection="1">
      <alignment horizontal="center" vertical="center"/>
      <protection locked="0"/>
    </xf>
    <xf numFmtId="170" fontId="0" fillId="3" borderId="15"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0" fontId="14" fillId="21" borderId="1" xfId="0" applyFont="1" applyFill="1" applyBorder="1" applyAlignment="1">
      <alignment horizontal="center" vertical="center"/>
    </xf>
    <xf numFmtId="0" fontId="9" fillId="15" borderId="1" xfId="0" applyFont="1" applyFill="1" applyBorder="1" applyAlignment="1">
      <alignment horizontal="center" vertical="center"/>
    </xf>
    <xf numFmtId="0" fontId="14" fillId="21" borderId="2" xfId="0" applyFont="1" applyFill="1" applyBorder="1" applyAlignment="1">
      <alignment horizontal="center" vertical="center"/>
    </xf>
    <xf numFmtId="0" fontId="14" fillId="21" borderId="3" xfId="0" applyFont="1" applyFill="1" applyBorder="1" applyAlignment="1">
      <alignment horizontal="center" vertical="center"/>
    </xf>
    <xf numFmtId="0" fontId="14" fillId="21" borderId="4" xfId="0" applyFont="1" applyFill="1" applyBorder="1" applyAlignment="1">
      <alignment horizontal="center" vertical="center"/>
    </xf>
    <xf numFmtId="0" fontId="9" fillId="15" borderId="1" xfId="0" applyFont="1" applyFill="1" applyBorder="1" applyAlignment="1">
      <alignment horizontal="left" vertical="center"/>
    </xf>
    <xf numFmtId="0" fontId="9" fillId="0" borderId="1" xfId="0" applyFont="1" applyBorder="1" applyAlignment="1">
      <alignment horizontal="left" vertical="center" indent="1"/>
    </xf>
    <xf numFmtId="0" fontId="0" fillId="0" borderId="1" xfId="0" applyBorder="1" applyAlignment="1">
      <alignment horizontal="center" vertical="center"/>
    </xf>
    <xf numFmtId="171" fontId="0" fillId="0" borderId="1" xfId="0" applyNumberFormat="1" applyBorder="1" applyAlignment="1">
      <alignment horizontal="center" vertical="center"/>
    </xf>
    <xf numFmtId="170" fontId="0" fillId="3" borderId="42" xfId="0" applyNumberFormat="1" applyFill="1" applyBorder="1" applyAlignment="1" applyProtection="1">
      <alignment horizontal="center" vertical="center"/>
      <protection locked="0"/>
    </xf>
    <xf numFmtId="170" fontId="0" fillId="3" borderId="43" xfId="0" applyNumberFormat="1" applyFill="1" applyBorder="1" applyAlignment="1" applyProtection="1">
      <alignment horizontal="center" vertical="center"/>
      <protection locked="0"/>
    </xf>
    <xf numFmtId="170" fontId="0" fillId="3" borderId="44" xfId="0" applyNumberFormat="1" applyFill="1" applyBorder="1" applyAlignment="1" applyProtection="1">
      <alignment horizontal="center" vertical="center"/>
      <protection locked="0"/>
    </xf>
  </cellXfs>
  <cellStyles count="8">
    <cellStyle name="Comma 2" xfId="6" xr:uid="{00000000-0005-0000-0000-000000000000}"/>
    <cellStyle name="Currency" xfId="1" builtinId="4"/>
    <cellStyle name="Currency 2" xfId="7" xr:uid="{00000000-0005-0000-0000-000002000000}"/>
    <cellStyle name="Hyperlink" xfId="2" builtinId="8"/>
    <cellStyle name="Normal" xfId="0" builtinId="0"/>
    <cellStyle name="Normal 2" xfId="4" xr:uid="{00000000-0005-0000-0000-000005000000}"/>
    <cellStyle name="Percent" xfId="3" builtinId="5"/>
    <cellStyle name="Percent 2" xfId="5" xr:uid="{00000000-0005-0000-0000-000007000000}"/>
  </cellStyles>
  <dxfs count="265">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style="thin">
          <color theme="0"/>
        </right>
        <top style="thin">
          <color theme="0"/>
        </top>
        <bottom/>
        <vertical/>
        <horizontal/>
      </border>
    </dxf>
    <dxf>
      <border outline="0">
        <top style="thin">
          <color theme="0"/>
        </top>
      </border>
    </dxf>
    <dxf>
      <border outline="0">
        <left style="thin">
          <color theme="9" tint="0.39997558519241921"/>
        </left>
        <right style="thin">
          <color theme="0"/>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style="thin">
          <color theme="0"/>
        </right>
        <top style="thin">
          <color theme="0"/>
        </top>
        <bottom/>
        <vertical/>
        <horizontal/>
      </border>
    </dxf>
    <dxf>
      <border outline="0">
        <top style="thin">
          <color rgb="FFFFFFFF"/>
        </top>
      </border>
    </dxf>
    <dxf>
      <border outline="0">
        <left style="thin">
          <color rgb="FFFABF8F"/>
        </left>
        <right style="thin">
          <color rgb="FFFFFFFF"/>
        </right>
        <top style="thin">
          <color rgb="FFFABF8F"/>
        </top>
        <bottom style="thin">
          <color rgb="FFFABF8F"/>
        </bottom>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dxf>
    <dxf>
      <border outline="0">
        <bottom style="thin">
          <color rgb="FFFABF8F"/>
        </bottom>
      </border>
    </dxf>
    <dxf>
      <font>
        <b/>
        <i val="0"/>
        <strike val="0"/>
        <condense val="0"/>
        <extend val="0"/>
        <outline val="0"/>
        <shadow val="0"/>
        <u val="none"/>
        <vertAlign val="baseline"/>
        <sz val="11"/>
        <color theme="0"/>
        <name val="Calibri"/>
        <scheme val="minor"/>
      </font>
      <fill>
        <patternFill patternType="solid">
          <fgColor theme="9"/>
          <bgColor theme="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style="thin">
          <color theme="0"/>
        </right>
        <top style="thin">
          <color theme="0"/>
        </top>
        <bottom/>
        <vertical/>
        <horizontal/>
      </border>
    </dxf>
    <dxf>
      <border outline="0">
        <top style="thin">
          <color theme="0"/>
        </top>
      </border>
    </dxf>
    <dxf>
      <border outline="0">
        <left style="thin">
          <color theme="9" tint="0.39997558519241921"/>
        </left>
        <right style="thin">
          <color theme="0"/>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strike val="0"/>
        <outline val="0"/>
        <shadow val="0"/>
        <u val="none"/>
        <vertAlign val="baseline"/>
        <sz val="10"/>
        <color theme="1"/>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val="0"/>
        <color theme="0"/>
      </font>
      <fill>
        <patternFill>
          <bgColor theme="3" tint="-0.24994659260841701"/>
        </patternFill>
      </fill>
    </dxf>
    <dxf>
      <font>
        <b/>
        <i val="0"/>
        <color theme="0"/>
      </font>
      <fill>
        <patternFill>
          <bgColor theme="3" tint="-0.24994659260841701"/>
        </patternFill>
      </fill>
    </dxf>
    <dxf>
      <fill>
        <patternFill>
          <bgColor theme="6" tint="0.39994506668294322"/>
        </patternFill>
      </fill>
    </dxf>
    <dxf>
      <fill>
        <patternFill>
          <bgColor theme="6" tint="0.39994506668294322"/>
        </patternFill>
      </fill>
    </dxf>
    <dxf>
      <fill>
        <patternFill>
          <bgColor rgb="FFF0F5E7"/>
        </patternFill>
      </fill>
    </dxf>
    <dxf>
      <fill>
        <patternFill patternType="solid">
          <fgColor auto="1"/>
          <bgColor rgb="FFF7EAE9"/>
        </patternFill>
      </fill>
    </dxf>
    <dxf>
      <font>
        <b/>
        <i val="0"/>
        <color theme="0"/>
      </font>
      <fill>
        <patternFill>
          <bgColor theme="5" tint="-0.24994659260841701"/>
        </patternFill>
      </fill>
      <border>
        <left/>
        <right/>
        <top/>
        <bottom/>
      </border>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ill>
        <patternFill>
          <bgColor rgb="FFF0F5E7"/>
        </patternFill>
      </fill>
    </dxf>
    <dxf>
      <fill>
        <patternFill patternType="solid">
          <fgColor auto="1"/>
          <bgColor rgb="FFF7EAE9"/>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bgColor theme="9" tint="0.79998168889431442"/>
        </patternFill>
      </fill>
    </dxf>
    <dxf>
      <fill>
        <patternFill>
          <bgColor theme="9" tint="0.79998168889431442"/>
        </patternFill>
      </fill>
    </dxf>
    <dxf>
      <font>
        <b/>
        <i val="0"/>
      </font>
      <fill>
        <patternFill>
          <bgColor theme="9" tint="0.79998168889431442"/>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ill>
        <patternFill>
          <bgColor rgb="FFF0F5E7"/>
        </patternFill>
      </fill>
    </dxf>
    <dxf>
      <fill>
        <patternFill patternType="solid">
          <fgColor auto="1"/>
          <bgColor rgb="FFF7EAE9"/>
        </patternFill>
      </fill>
    </dxf>
    <dxf>
      <fill>
        <patternFill>
          <bgColor theme="9" tint="0.79998168889431442"/>
        </patternFill>
      </fill>
    </dxf>
    <dxf>
      <font>
        <b/>
        <i val="0"/>
      </font>
      <fill>
        <patternFill>
          <bgColor theme="9" tint="0.79998168889431442"/>
        </patternFill>
      </fill>
    </dxf>
    <dxf>
      <fill>
        <patternFill>
          <bgColor theme="9" tint="0.79998168889431442"/>
        </patternFill>
      </fill>
    </dxf>
    <dxf>
      <font>
        <b/>
        <i val="0"/>
      </font>
      <fill>
        <patternFill>
          <bgColor theme="9" tint="0.79998168889431442"/>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ont>
        <b/>
        <i val="0"/>
        <color theme="0"/>
      </font>
      <fill>
        <patternFill>
          <bgColor theme="5" tint="-0.24994659260841701"/>
        </patternFill>
      </fill>
      <border>
        <left/>
        <right/>
        <top/>
        <bottom/>
      </border>
    </dxf>
    <dxf>
      <font>
        <b/>
        <i val="0"/>
      </font>
      <fill>
        <patternFill>
          <bgColor theme="9" tint="0.7999816888943144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color theme="0"/>
      </font>
      <fill>
        <patternFill>
          <bgColor theme="5" tint="-0.24994659260841701"/>
        </patternFill>
      </fill>
      <border>
        <left/>
        <right/>
        <top/>
        <bottom/>
      </border>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s>
  <tableStyles count="0" defaultTableStyle="TableStyleMedium9" defaultPivotStyle="PivotStyleLight16"/>
  <colors>
    <mruColors>
      <color rgb="FF708B39"/>
      <color rgb="FF8EB149"/>
      <color rgb="FFFFFFCC"/>
      <color rgb="FF00305E"/>
      <color rgb="FF9CACB9"/>
      <color rgb="FFF0F5E7"/>
      <color rgb="FFF7EAE9"/>
      <color rgb="FF4A7EBB"/>
      <color rgb="FFFFFFFF"/>
      <color rgb="FFE9E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B$4"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fmlaLink="$B$104" lockText="1" noThreeD="1"/>
</file>

<file path=xl/ctrlProps/ctrlProp5.xml><?xml version="1.0" encoding="utf-8"?>
<formControlPr xmlns="http://schemas.microsoft.com/office/spreadsheetml/2009/9/main" objectType="CheckBox" fmlaLink="$B$4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TARGET_CONFIG_TOP"/><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hyperlink" Target="#TARGET_TOP_ICW"/><Relationship Id="rId13" Type="http://schemas.openxmlformats.org/officeDocument/2006/relationships/hyperlink" Target="#TARGET_TOP_MFI_VI"/><Relationship Id="rId3" Type="http://schemas.openxmlformats.org/officeDocument/2006/relationships/hyperlink" Target="#TARGET_RES_2"/><Relationship Id="rId7" Type="http://schemas.openxmlformats.org/officeDocument/2006/relationships/image" Target="../media/image2.png"/><Relationship Id="rId12" Type="http://schemas.openxmlformats.org/officeDocument/2006/relationships/hyperlink" Target="#TARGET_TOP_MFI_PR"/><Relationship Id="rId2" Type="http://schemas.openxmlformats.org/officeDocument/2006/relationships/hyperlink" Target="#TARGET_RES_1"/><Relationship Id="rId1" Type="http://schemas.openxmlformats.org/officeDocument/2006/relationships/hyperlink" Target="#TARGET_RES_5"/><Relationship Id="rId6" Type="http://schemas.openxmlformats.org/officeDocument/2006/relationships/hyperlink" Target="#TARGET_RESERVATION_TOP"/><Relationship Id="rId11" Type="http://schemas.openxmlformats.org/officeDocument/2006/relationships/hyperlink" Target="#TARGET_TOP_MFI_NY"/><Relationship Id="rId5" Type="http://schemas.openxmlformats.org/officeDocument/2006/relationships/hyperlink" Target="#TARGET_RES_4"/><Relationship Id="rId10" Type="http://schemas.openxmlformats.org/officeDocument/2006/relationships/hyperlink" Target="#TARGET_TOP_MFI_NJ"/><Relationship Id="rId4" Type="http://schemas.openxmlformats.org/officeDocument/2006/relationships/hyperlink" Target="#TARGET_RES_3"/><Relationship Id="rId9" Type="http://schemas.openxmlformats.org/officeDocument/2006/relationships/hyperlink" Target="#TARGET_RES_6"/></Relationships>
</file>

<file path=xl/drawings/_rels/drawing3.xml.rels><?xml version="1.0" encoding="UTF-8" standalone="yes"?>
<Relationships xmlns="http://schemas.openxmlformats.org/package/2006/relationships"><Relationship Id="rId8" Type="http://schemas.openxmlformats.org/officeDocument/2006/relationships/hyperlink" Target="#TARGET_DISB_6"/><Relationship Id="rId3" Type="http://schemas.openxmlformats.org/officeDocument/2006/relationships/hyperlink" Target="#TARGET_DSB_2"/><Relationship Id="rId7" Type="http://schemas.openxmlformats.org/officeDocument/2006/relationships/image" Target="../media/image2.png"/><Relationship Id="rId2" Type="http://schemas.openxmlformats.org/officeDocument/2006/relationships/hyperlink" Target="#TARGET_DSB_1"/><Relationship Id="rId1" Type="http://schemas.openxmlformats.org/officeDocument/2006/relationships/hyperlink" Target="#TARGET_DISB_5"/><Relationship Id="rId6" Type="http://schemas.openxmlformats.org/officeDocument/2006/relationships/hyperlink" Target="#TARGET_DSB_TOP"/><Relationship Id="rId5" Type="http://schemas.openxmlformats.org/officeDocument/2006/relationships/hyperlink" Target="#TARGET_DSB_4"/><Relationship Id="rId4" Type="http://schemas.openxmlformats.org/officeDocument/2006/relationships/hyperlink" Target="#TARGET_DSB_3"/></Relationships>
</file>

<file path=xl/drawings/_rels/drawing4.xml.rels><?xml version="1.0" encoding="UTF-8" standalone="yes"?>
<Relationships xmlns="http://schemas.openxmlformats.org/package/2006/relationships"><Relationship Id="rId3" Type="http://schemas.openxmlformats.org/officeDocument/2006/relationships/hyperlink" Target="#TARGET_ADL_TOP"/><Relationship Id="rId2" Type="http://schemas.openxmlformats.org/officeDocument/2006/relationships/hyperlink" Target="#TARGET_ADL_3"/><Relationship Id="rId1" Type="http://schemas.openxmlformats.org/officeDocument/2006/relationships/hyperlink" Target="#TARGET_ADL_1"/><Relationship Id="rId6" Type="http://schemas.openxmlformats.org/officeDocument/2006/relationships/hyperlink" Target="#TARGET_ADL_2"/><Relationship Id="rId5" Type="http://schemas.openxmlformats.org/officeDocument/2006/relationships/hyperlink" Target="#TARGET_TOP_ICW"/><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RGET_TOP_ICW"/></Relationships>
</file>

<file path=xl/drawings/_rels/drawing6.xml.rels><?xml version="1.0" encoding="UTF-8" standalone="yes"?>
<Relationships xmlns="http://schemas.openxmlformats.org/package/2006/relationships"><Relationship Id="rId3" Type="http://schemas.openxmlformats.org/officeDocument/2006/relationships/hyperlink" Target="#TARGET_TOP_MRB_NJ"/><Relationship Id="rId2" Type="http://schemas.openxmlformats.org/officeDocument/2006/relationships/image" Target="../media/image1.png"/><Relationship Id="rId1" Type="http://schemas.openxmlformats.org/officeDocument/2006/relationships/hyperlink" Target="#TARGET_TOP_ICW"/></Relationships>
</file>

<file path=xl/drawings/_rels/drawing7.xml.rels><?xml version="1.0" encoding="UTF-8" standalone="yes"?>
<Relationships xmlns="http://schemas.openxmlformats.org/package/2006/relationships"><Relationship Id="rId3" Type="http://schemas.openxmlformats.org/officeDocument/2006/relationships/hyperlink" Target="#TARGET_TOP_MRB_NY"/><Relationship Id="rId2" Type="http://schemas.openxmlformats.org/officeDocument/2006/relationships/image" Target="../media/image1.png"/><Relationship Id="rId1" Type="http://schemas.openxmlformats.org/officeDocument/2006/relationships/hyperlink" Target="#TARGET_TOP_ICW"/></Relationships>
</file>

<file path=xl/drawings/_rels/drawing8.xml.rels><?xml version="1.0" encoding="UTF-8" standalone="yes"?>
<Relationships xmlns="http://schemas.openxmlformats.org/package/2006/relationships"><Relationship Id="rId3" Type="http://schemas.openxmlformats.org/officeDocument/2006/relationships/hyperlink" Target="#TARGET_TOP_MRB_PR"/><Relationship Id="rId2" Type="http://schemas.openxmlformats.org/officeDocument/2006/relationships/image" Target="../media/image1.png"/><Relationship Id="rId1" Type="http://schemas.openxmlformats.org/officeDocument/2006/relationships/hyperlink" Target="#TARGET_TOP_ICW"/></Relationships>
</file>

<file path=xl/drawings/_rels/drawing9.xml.rels><?xml version="1.0" encoding="UTF-8" standalone="yes"?>
<Relationships xmlns="http://schemas.openxmlformats.org/package/2006/relationships"><Relationship Id="rId3" Type="http://schemas.openxmlformats.org/officeDocument/2006/relationships/hyperlink" Target="#TARGET_TOP_HUD_USVI"/><Relationship Id="rId2" Type="http://schemas.openxmlformats.org/officeDocument/2006/relationships/image" Target="../media/image1.png"/><Relationship Id="rId1" Type="http://schemas.openxmlformats.org/officeDocument/2006/relationships/hyperlink" Target="#TARGET_TOP_ICW"/></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6</xdr:row>
      <xdr:rowOff>0</xdr:rowOff>
    </xdr:from>
    <xdr:to>
      <xdr:col>6</xdr:col>
      <xdr:colOff>142875</xdr:colOff>
      <xdr:row>8</xdr:row>
      <xdr:rowOff>304798</xdr:rowOff>
    </xdr:to>
    <xdr:sp macro="" textlink="">
      <xdr:nvSpPr>
        <xdr:cNvPr id="44" name="COVER_CELLS_01">
          <a:extLst>
            <a:ext uri="{FF2B5EF4-FFF2-40B4-BE49-F238E27FC236}">
              <a16:creationId xmlns:a16="http://schemas.microsoft.com/office/drawing/2014/main" id="{00000000-0008-0000-0000-00002C000000}"/>
            </a:ext>
          </a:extLst>
        </xdr:cNvPr>
        <xdr:cNvSpPr/>
      </xdr:nvSpPr>
      <xdr:spPr>
        <a:xfrm>
          <a:off x="11068050" y="3495677"/>
          <a:ext cx="123825" cy="933448"/>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oneCellAnchor>
    <xdr:from>
      <xdr:col>3</xdr:col>
      <xdr:colOff>1076325</xdr:colOff>
      <xdr:row>3</xdr:row>
      <xdr:rowOff>933450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3943350"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absolute">
    <xdr:from>
      <xdr:col>16384</xdr:col>
      <xdr:colOff>604857</xdr:colOff>
      <xdr:row>12</xdr:row>
      <xdr:rowOff>9525</xdr:rowOff>
    </xdr:from>
    <xdr:to>
      <xdr:col>16384</xdr:col>
      <xdr:colOff>604857</xdr:colOff>
      <xdr:row>13</xdr:row>
      <xdr:rowOff>342900</xdr:rowOff>
    </xdr:to>
    <xdr:sp macro="" textlink="">
      <xdr:nvSpPr>
        <xdr:cNvPr id="43" name="COVER_CELLS_01">
          <a:extLst>
            <a:ext uri="{FF2B5EF4-FFF2-40B4-BE49-F238E27FC236}">
              <a16:creationId xmlns:a16="http://schemas.microsoft.com/office/drawing/2014/main" id="{00000000-0008-0000-0000-00002B000000}"/>
            </a:ext>
          </a:extLst>
        </xdr:cNvPr>
        <xdr:cNvSpPr/>
      </xdr:nvSpPr>
      <xdr:spPr>
        <a:xfrm>
          <a:off x="11068049" y="3590925"/>
          <a:ext cx="142875"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twoCellAnchor editAs="oneCell">
    <xdr:from>
      <xdr:col>4</xdr:col>
      <xdr:colOff>1791391</xdr:colOff>
      <xdr:row>0</xdr:row>
      <xdr:rowOff>17693</xdr:rowOff>
    </xdr:from>
    <xdr:to>
      <xdr:col>4</xdr:col>
      <xdr:colOff>3391594</xdr:colOff>
      <xdr:row>2</xdr:row>
      <xdr:rowOff>46269</xdr:rowOff>
    </xdr:to>
    <xdr:pic>
      <xdr:nvPicPr>
        <xdr:cNvPr id="40" name="WELCOME_HEADER_IMG" descr="Medium.gif">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3334441" y="17693"/>
          <a:ext cx="1600203" cy="533401"/>
        </a:xfrm>
        <a:prstGeom prst="rect">
          <a:avLst/>
        </a:prstGeom>
      </xdr:spPr>
    </xdr:pic>
    <xdr:clientData/>
  </xdr:twoCellAnchor>
  <xdr:twoCellAnchor>
    <xdr:from>
      <xdr:col>2</xdr:col>
      <xdr:colOff>28575</xdr:colOff>
      <xdr:row>2</xdr:row>
      <xdr:rowOff>57150</xdr:rowOff>
    </xdr:from>
    <xdr:to>
      <xdr:col>6</xdr:col>
      <xdr:colOff>152400</xdr:colOff>
      <xdr:row>3</xdr:row>
      <xdr:rowOff>212328</xdr:rowOff>
    </xdr:to>
    <xdr:grpSp>
      <xdr:nvGrpSpPr>
        <xdr:cNvPr id="24" name="WELCOME_HEADER">
          <a:extLst>
            <a:ext uri="{FF2B5EF4-FFF2-40B4-BE49-F238E27FC236}">
              <a16:creationId xmlns:a16="http://schemas.microsoft.com/office/drawing/2014/main" id="{00000000-0008-0000-0000-000018000000}"/>
            </a:ext>
          </a:extLst>
        </xdr:cNvPr>
        <xdr:cNvGrpSpPr/>
      </xdr:nvGrpSpPr>
      <xdr:grpSpPr>
        <a:xfrm>
          <a:off x="28575" y="561975"/>
          <a:ext cx="8229600" cy="345678"/>
          <a:chOff x="28366" y="561181"/>
          <a:chExt cx="8470315" cy="345678"/>
        </a:xfrm>
      </xdr:grpSpPr>
      <xdr:sp macro="" textlink="">
        <xdr:nvSpPr>
          <xdr:cNvPr id="29" name="HEADER_RECT_01">
            <a:extLst>
              <a:ext uri="{FF2B5EF4-FFF2-40B4-BE49-F238E27FC236}">
                <a16:creationId xmlns:a16="http://schemas.microsoft.com/office/drawing/2014/main" id="{00000000-0008-0000-0000-00001D000000}"/>
              </a:ext>
            </a:extLst>
          </xdr:cNvPr>
          <xdr:cNvSpPr/>
        </xdr:nvSpPr>
        <xdr:spPr>
          <a:xfrm>
            <a:off x="38100" y="580231"/>
            <a:ext cx="8460581" cy="274320"/>
          </a:xfrm>
          <a:prstGeom prst="rect">
            <a:avLst/>
          </a:prstGeom>
          <a:solidFill>
            <a:srgbClr val="00305E"/>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en-US" sz="1100"/>
          </a:p>
        </xdr:txBody>
      </xdr:sp>
      <xdr:sp macro="" textlink="$B$2">
        <xdr:nvSpPr>
          <xdr:cNvPr id="45" name="HEADER_TEXT">
            <a:extLst>
              <a:ext uri="{FF2B5EF4-FFF2-40B4-BE49-F238E27FC236}">
                <a16:creationId xmlns:a16="http://schemas.microsoft.com/office/drawing/2014/main" id="{00000000-0008-0000-0000-00002D000000}"/>
              </a:ext>
            </a:extLst>
          </xdr:cNvPr>
          <xdr:cNvSpPr txBox="1"/>
        </xdr:nvSpPr>
        <xdr:spPr>
          <a:xfrm>
            <a:off x="28366" y="561181"/>
            <a:ext cx="83134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fld id="{58B3646A-CA1D-49C2-AF4B-6EE4EC024D0A}" type="TxLink">
              <a:rPr lang="en-US" sz="1400" b="1" i="0" u="none" strike="noStrike">
                <a:solidFill>
                  <a:schemeClr val="bg1"/>
                </a:solidFill>
                <a:latin typeface="Calibri"/>
                <a:cs typeface="Calibri"/>
              </a:rPr>
              <a:pPr algn="ctr"/>
              <a:t>Homebuyer Dream Program® Request Form - 2023 Round</a:t>
            </a:fld>
            <a:endParaRPr lang="en-US" sz="4400" b="1" i="0" u="none" strike="noStrike">
              <a:solidFill>
                <a:schemeClr val="bg1"/>
              </a:solidFill>
              <a:latin typeface="Calibri"/>
            </a:endParaRPr>
          </a:p>
        </xdr:txBody>
      </xdr:sp>
      <xdr:cxnSp macro="">
        <xdr:nvCxnSpPr>
          <xdr:cNvPr id="22" name="HEADER_RECT_03">
            <a:extLst>
              <a:ext uri="{FF2B5EF4-FFF2-40B4-BE49-F238E27FC236}">
                <a16:creationId xmlns:a16="http://schemas.microsoft.com/office/drawing/2014/main" id="{00000000-0008-0000-0000-000016000000}"/>
              </a:ext>
            </a:extLst>
          </xdr:cNvPr>
          <xdr:cNvCxnSpPr/>
        </xdr:nvCxnSpPr>
        <xdr:spPr>
          <a:xfrm>
            <a:off x="35721" y="906859"/>
            <a:ext cx="8451437" cy="0"/>
          </a:xfrm>
          <a:prstGeom prst="line">
            <a:avLst/>
          </a:prstGeom>
          <a:ln w="22225">
            <a:solidFill>
              <a:srgbClr val="00305E"/>
            </a:solidFill>
          </a:ln>
        </xdr:spPr>
        <xdr:style>
          <a:lnRef idx="1">
            <a:schemeClr val="accent1"/>
          </a:lnRef>
          <a:fillRef idx="0">
            <a:schemeClr val="accent1"/>
          </a:fillRef>
          <a:effectRef idx="0">
            <a:schemeClr val="accent1"/>
          </a:effectRef>
          <a:fontRef idx="minor">
            <a:schemeClr val="tx1"/>
          </a:fontRef>
        </xdr:style>
      </xdr:cxnSp>
      <xdr:cxnSp macro="">
        <xdr:nvCxnSpPr>
          <xdr:cNvPr id="23" name="HEADER_RECT_02">
            <a:extLst>
              <a:ext uri="{FF2B5EF4-FFF2-40B4-BE49-F238E27FC236}">
                <a16:creationId xmlns:a16="http://schemas.microsoft.com/office/drawing/2014/main" id="{00000000-0008-0000-0000-000017000000}"/>
              </a:ext>
            </a:extLst>
          </xdr:cNvPr>
          <xdr:cNvCxnSpPr/>
        </xdr:nvCxnSpPr>
        <xdr:spPr>
          <a:xfrm>
            <a:off x="35721" y="875109"/>
            <a:ext cx="8451437" cy="0"/>
          </a:xfrm>
          <a:prstGeom prst="line">
            <a:avLst/>
          </a:prstGeom>
          <a:ln w="22225">
            <a:solidFill>
              <a:srgbClr val="00305E"/>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5</xdr:col>
          <xdr:colOff>1371600</xdr:colOff>
          <xdr:row>8</xdr:row>
          <xdr:rowOff>0</xdr:rowOff>
        </xdr:to>
        <xdr:sp macro="" textlink="">
          <xdr:nvSpPr>
            <xdr:cNvPr id="9220" name="APP_TYPE_RENTAL"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5</xdr:col>
          <xdr:colOff>1371600</xdr:colOff>
          <xdr:row>9</xdr:row>
          <xdr:rowOff>0</xdr:rowOff>
        </xdr:to>
        <xdr:sp macro="" textlink="">
          <xdr:nvSpPr>
            <xdr:cNvPr id="9221" name="APP_TYPE_OWNER"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5</xdr:col>
          <xdr:colOff>1371600</xdr:colOff>
          <xdr:row>10</xdr:row>
          <xdr:rowOff>0</xdr:rowOff>
        </xdr:to>
        <xdr:sp macro="" textlink="">
          <xdr:nvSpPr>
            <xdr:cNvPr id="9223" name="APP_TYPE_OWNER"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19</xdr:col>
      <xdr:colOff>352425</xdr:colOff>
      <xdr:row>0</xdr:row>
      <xdr:rowOff>0</xdr:rowOff>
    </xdr:from>
    <xdr:to>
      <xdr:col>16384</xdr:col>
      <xdr:colOff>385763</xdr:colOff>
      <xdr:row>0</xdr:row>
      <xdr:rowOff>476250</xdr:rowOff>
    </xdr:to>
    <xdr:sp macro="" textlink="">
      <xdr:nvSpPr>
        <xdr:cNvPr id="4" name="HEADER_BANNER_TITLE">
          <a:extLst>
            <a:ext uri="{FF2B5EF4-FFF2-40B4-BE49-F238E27FC236}">
              <a16:creationId xmlns:a16="http://schemas.microsoft.com/office/drawing/2014/main" id="{00000000-0008-0000-0900-000004000000}"/>
            </a:ext>
          </a:extLst>
        </xdr:cNvPr>
        <xdr:cNvSpPr txBox="1"/>
      </xdr:nvSpPr>
      <xdr:spPr>
        <a:xfrm>
          <a:off x="4991100" y="0"/>
          <a:ext cx="24812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0" i="0" u="none" strike="noStrike">
              <a:solidFill>
                <a:schemeClr val="tx1"/>
              </a:solidFill>
              <a:latin typeface="Verdana" pitchFamily="34" charset="0"/>
            </a:rPr>
            <a:t> </a:t>
          </a:r>
        </a:p>
      </xdr:txBody>
    </xdr:sp>
    <xdr:clientData/>
  </xdr:twoCellAnchor>
  <xdr:twoCellAnchor editAs="oneCell">
    <xdr:from>
      <xdr:col>2</xdr:col>
      <xdr:colOff>28574</xdr:colOff>
      <xdr:row>0</xdr:row>
      <xdr:rowOff>37735</xdr:rowOff>
    </xdr:from>
    <xdr:to>
      <xdr:col>5</xdr:col>
      <xdr:colOff>416815</xdr:colOff>
      <xdr:row>0</xdr:row>
      <xdr:rowOff>475124</xdr:rowOff>
    </xdr:to>
    <xdr:pic>
      <xdr:nvPicPr>
        <xdr:cNvPr id="3" name="FHLBNY_LOGO" descr="Medium.gif">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28574" y="37735"/>
          <a:ext cx="1312166" cy="437389"/>
        </a:xfrm>
        <a:prstGeom prst="rect">
          <a:avLst/>
        </a:prstGeom>
      </xdr:spPr>
    </xdr:pic>
    <xdr:clientData/>
  </xdr:twoCellAnchor>
  <xdr:twoCellAnchor editAs="oneCell">
    <xdr:from>
      <xdr:col>11</xdr:col>
      <xdr:colOff>95250</xdr:colOff>
      <xdr:row>0</xdr:row>
      <xdr:rowOff>9525</xdr:rowOff>
    </xdr:from>
    <xdr:to>
      <xdr:col>25</xdr:col>
      <xdr:colOff>138113</xdr:colOff>
      <xdr:row>0</xdr:row>
      <xdr:rowOff>485775</xdr:rowOff>
    </xdr:to>
    <xdr:sp macro="" textlink="CONFIG_EFORM_DOC_ID_NAME">
      <xdr:nvSpPr>
        <xdr:cNvPr id="5" name="HEADER_BANNER_TITLE">
          <a:extLst>
            <a:ext uri="{FF2B5EF4-FFF2-40B4-BE49-F238E27FC236}">
              <a16:creationId xmlns:a16="http://schemas.microsoft.com/office/drawing/2014/main" id="{00000000-0008-0000-0900-000005000000}"/>
            </a:ext>
          </a:extLst>
        </xdr:cNvPr>
        <xdr:cNvSpPr txBox="1"/>
      </xdr:nvSpPr>
      <xdr:spPr>
        <a:xfrm>
          <a:off x="3438525" y="9525"/>
          <a:ext cx="53768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r"/>
          <a:fld id="{0939344C-BEBE-4136-87AE-DAB3E098B6BB}" type="TxLink">
            <a:rPr lang="en-US" sz="1400" b="0" i="0" u="none" strike="noStrike">
              <a:solidFill>
                <a:srgbClr val="000000"/>
              </a:solidFill>
              <a:latin typeface="Calibri"/>
              <a:cs typeface="Calibri"/>
            </a:rPr>
            <a:pPr algn="r"/>
            <a:t>HDP-005: Homebuyer Dream Program Request Form</a:t>
          </a:fld>
          <a:endParaRPr lang="en-US" sz="2400" b="0" i="0" u="none" strike="noStrike">
            <a:solidFill>
              <a:schemeClr val="tx1"/>
            </a:solidFill>
            <a:latin typeface="+mn-lt"/>
          </a:endParaRPr>
        </a:p>
      </xdr:txBody>
    </xdr:sp>
    <xdr:clientData/>
  </xdr:twoCellAnchor>
  <xdr:twoCellAnchor editAs="oneCell">
    <xdr:from>
      <xdr:col>19</xdr:col>
      <xdr:colOff>552450</xdr:colOff>
      <xdr:row>1</xdr:row>
      <xdr:rowOff>47625</xdr:rowOff>
    </xdr:from>
    <xdr:to>
      <xdr:col>25</xdr:col>
      <xdr:colOff>100013</xdr:colOff>
      <xdr:row>1</xdr:row>
      <xdr:rowOff>230505</xdr:rowOff>
    </xdr:to>
    <xdr:sp macro="" textlink="$B$3">
      <xdr:nvSpPr>
        <xdr:cNvPr id="6" name="HEADER_BANNER_SUBTITLE">
          <a:extLst>
            <a:ext uri="{FF2B5EF4-FFF2-40B4-BE49-F238E27FC236}">
              <a16:creationId xmlns:a16="http://schemas.microsoft.com/office/drawing/2014/main" id="{00000000-0008-0000-0900-000006000000}"/>
            </a:ext>
          </a:extLst>
        </xdr:cNvPr>
        <xdr:cNvSpPr txBox="1"/>
      </xdr:nvSpPr>
      <xdr:spPr>
        <a:xfrm>
          <a:off x="6181725"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840D96E5-ABC2-48B3-A0CB-E605811ED4E5}" type="TxLink">
            <a:rPr lang="en-US" sz="800" b="1" i="0" u="none" strike="noStrike">
              <a:solidFill>
                <a:schemeClr val="bg1"/>
              </a:solidFill>
              <a:latin typeface="Calibri"/>
            </a:rPr>
            <a:pPr algn="ctr"/>
            <a:t>eForm Version 5.0.0</a:t>
          </a:fld>
          <a:endParaRPr lang="en-US" sz="1000" b="1" i="0" u="none" strike="noStrike">
            <a:solidFill>
              <a:schemeClr val="bg1"/>
            </a:solidFill>
            <a:latin typeface="Calibri"/>
          </a:endParaRPr>
        </a:p>
      </xdr:txBody>
    </xdr:sp>
    <xdr:clientData/>
  </xdr:twoCellAnchor>
  <xdr:twoCellAnchor editAs="oneCell">
    <xdr:from>
      <xdr:col>2</xdr:col>
      <xdr:colOff>57150</xdr:colOff>
      <xdr:row>11</xdr:row>
      <xdr:rowOff>247650</xdr:rowOff>
    </xdr:from>
    <xdr:to>
      <xdr:col>25</xdr:col>
      <xdr:colOff>47625</xdr:colOff>
      <xdr:row>26</xdr:row>
      <xdr:rowOff>66676</xdr:rowOff>
    </xdr:to>
    <xdr:grpSp>
      <xdr:nvGrpSpPr>
        <xdr:cNvPr id="8" name="CONFIG_FRAME">
          <a:extLst>
            <a:ext uri="{FF2B5EF4-FFF2-40B4-BE49-F238E27FC236}">
              <a16:creationId xmlns:a16="http://schemas.microsoft.com/office/drawing/2014/main" id="{00000000-0008-0000-0900-000008000000}"/>
            </a:ext>
          </a:extLst>
        </xdr:cNvPr>
        <xdr:cNvGrpSpPr/>
      </xdr:nvGrpSpPr>
      <xdr:grpSpPr>
        <a:xfrm>
          <a:off x="57150" y="3514725"/>
          <a:ext cx="8667750" cy="3962401"/>
          <a:chOff x="8180191" y="1298424"/>
          <a:chExt cx="7362825" cy="3957701"/>
        </a:xfrm>
      </xdr:grpSpPr>
      <xdr:sp macro="" textlink="">
        <xdr:nvSpPr>
          <xdr:cNvPr id="17" name="CONFIG_FRAME_SUBTITLE">
            <a:extLst>
              <a:ext uri="{FF2B5EF4-FFF2-40B4-BE49-F238E27FC236}">
                <a16:creationId xmlns:a16="http://schemas.microsoft.com/office/drawing/2014/main" id="{00000000-0008-0000-0900-000011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mn-lt"/>
                <a:ea typeface="+mn-ea"/>
                <a:cs typeface="+mn-cs"/>
              </a:rPr>
              <a:t>Round Specific Settings &amp; Thresholds</a:t>
            </a:r>
            <a:endParaRPr lang="en-US" sz="1000"/>
          </a:p>
        </xdr:txBody>
      </xdr:sp>
      <xdr:grpSp>
        <xdr:nvGrpSpPr>
          <xdr:cNvPr id="18" name="TOC">
            <a:extLst>
              <a:ext uri="{FF2B5EF4-FFF2-40B4-BE49-F238E27FC236}">
                <a16:creationId xmlns:a16="http://schemas.microsoft.com/office/drawing/2014/main" id="{00000000-0008-0000-0900-000012000000}"/>
              </a:ext>
            </a:extLst>
          </xdr:cNvPr>
          <xdr:cNvGrpSpPr/>
        </xdr:nvGrpSpPr>
        <xdr:grpSpPr>
          <a:xfrm>
            <a:off x="8180191" y="1298424"/>
            <a:ext cx="7362825" cy="3957701"/>
            <a:chOff x="9227941" y="1834109"/>
            <a:chExt cx="7362825" cy="3051417"/>
          </a:xfrm>
          <a:effectLst/>
        </xdr:grpSpPr>
        <xdr:sp macro="" textlink="">
          <xdr:nvSpPr>
            <xdr:cNvPr id="23" name="CONFIG_FRAME_BORDER">
              <a:extLst>
                <a:ext uri="{FF2B5EF4-FFF2-40B4-BE49-F238E27FC236}">
                  <a16:creationId xmlns:a16="http://schemas.microsoft.com/office/drawing/2014/main" id="{00000000-0008-0000-0900-000017000000}"/>
                </a:ext>
              </a:extLst>
            </xdr:cNvPr>
            <xdr:cNvSpPr/>
          </xdr:nvSpPr>
          <xdr:spPr>
            <a:xfrm>
              <a:off x="9227941" y="2083504"/>
              <a:ext cx="7362825" cy="2802022"/>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24" name="CONFIG_FRAME_TITLE">
              <a:extLst>
                <a:ext uri="{FF2B5EF4-FFF2-40B4-BE49-F238E27FC236}">
                  <a16:creationId xmlns:a16="http://schemas.microsoft.com/office/drawing/2014/main" id="{00000000-0008-0000-0900-000018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Round</a:t>
              </a:r>
              <a:r>
                <a:rPr lang="en-US" sz="1100" b="1" baseline="0">
                  <a:solidFill>
                    <a:schemeClr val="bg1"/>
                  </a:solidFill>
                </a:rPr>
                <a:t> Maintenance </a:t>
              </a:r>
              <a:endParaRPr lang="en-US" sz="1100" b="1">
                <a:solidFill>
                  <a:schemeClr val="bg1"/>
                </a:solidFill>
              </a:endParaRPr>
            </a:p>
          </xdr:txBody>
        </xdr:sp>
      </xdr:grpSp>
    </xdr:grpSp>
    <xdr:clientData fPrintsWithSheet="0"/>
  </xdr:twoCellAnchor>
  <xdr:twoCellAnchor>
    <xdr:from>
      <xdr:col>5</xdr:col>
      <xdr:colOff>428625</xdr:colOff>
      <xdr:row>15</xdr:row>
      <xdr:rowOff>142875</xdr:rowOff>
    </xdr:from>
    <xdr:to>
      <xdr:col>20</xdr:col>
      <xdr:colOff>123825</xdr:colOff>
      <xdr:row>15</xdr:row>
      <xdr:rowOff>142875</xdr:rowOff>
    </xdr:to>
    <xdr:cxnSp macro="">
      <xdr:nvCxnSpPr>
        <xdr:cNvPr id="33" name="DOTTED_LINE">
          <a:extLst>
            <a:ext uri="{FF2B5EF4-FFF2-40B4-BE49-F238E27FC236}">
              <a16:creationId xmlns:a16="http://schemas.microsoft.com/office/drawing/2014/main" id="{00000000-0008-0000-0900-000021000000}"/>
            </a:ext>
          </a:extLst>
        </xdr:cNvPr>
        <xdr:cNvCxnSpPr/>
      </xdr:nvCxnSpPr>
      <xdr:spPr>
        <a:xfrm>
          <a:off x="1352550" y="3962400"/>
          <a:ext cx="5743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152400</xdr:rowOff>
    </xdr:from>
    <xdr:to>
      <xdr:col>20</xdr:col>
      <xdr:colOff>123825</xdr:colOff>
      <xdr:row>16</xdr:row>
      <xdr:rowOff>152400</xdr:rowOff>
    </xdr:to>
    <xdr:cxnSp macro="">
      <xdr:nvCxnSpPr>
        <xdr:cNvPr id="39" name="DOTTED_LINE">
          <a:extLst>
            <a:ext uri="{FF2B5EF4-FFF2-40B4-BE49-F238E27FC236}">
              <a16:creationId xmlns:a16="http://schemas.microsoft.com/office/drawing/2014/main" id="{00000000-0008-0000-0900-000027000000}"/>
            </a:ext>
          </a:extLst>
        </xdr:cNvPr>
        <xdr:cNvCxnSpPr/>
      </xdr:nvCxnSpPr>
      <xdr:spPr>
        <a:xfrm>
          <a:off x="2400300" y="4248150"/>
          <a:ext cx="4695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85724</xdr:colOff>
      <xdr:row>205</xdr:row>
      <xdr:rowOff>247650</xdr:rowOff>
    </xdr:from>
    <xdr:to>
      <xdr:col>25</xdr:col>
      <xdr:colOff>85724</xdr:colOff>
      <xdr:row>217</xdr:row>
      <xdr:rowOff>161926</xdr:rowOff>
    </xdr:to>
    <xdr:grpSp>
      <xdr:nvGrpSpPr>
        <xdr:cNvPr id="41" name="CONFIG_FRAME">
          <a:extLst>
            <a:ext uri="{FF2B5EF4-FFF2-40B4-BE49-F238E27FC236}">
              <a16:creationId xmlns:a16="http://schemas.microsoft.com/office/drawing/2014/main" id="{00000000-0008-0000-0900-000029000000}"/>
            </a:ext>
          </a:extLst>
        </xdr:cNvPr>
        <xdr:cNvGrpSpPr/>
      </xdr:nvGrpSpPr>
      <xdr:grpSpPr>
        <a:xfrm>
          <a:off x="85724" y="57102375"/>
          <a:ext cx="8677275" cy="3228976"/>
          <a:chOff x="8180191" y="1298424"/>
          <a:chExt cx="7362825" cy="3225145"/>
        </a:xfrm>
      </xdr:grpSpPr>
      <xdr:sp macro="" textlink="">
        <xdr:nvSpPr>
          <xdr:cNvPr id="42" name="CONFIG_FRAME_SUBTITLE">
            <a:extLst>
              <a:ext uri="{FF2B5EF4-FFF2-40B4-BE49-F238E27FC236}">
                <a16:creationId xmlns:a16="http://schemas.microsoft.com/office/drawing/2014/main" id="{00000000-0008-0000-0900-00002A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mn-lt"/>
                <a:ea typeface="+mn-ea"/>
                <a:cs typeface="+mn-cs"/>
              </a:rPr>
              <a:t>Settings for Welcome (</a:t>
            </a:r>
            <a:r>
              <a:rPr lang="en-US" sz="1000" b="1" i="1" baseline="0">
                <a:solidFill>
                  <a:schemeClr val="dk1"/>
                </a:solidFill>
                <a:latin typeface="+mn-lt"/>
                <a:ea typeface="+mn-ea"/>
                <a:cs typeface="+mn-cs"/>
              </a:rPr>
              <a:t>Type Selection)</a:t>
            </a:r>
            <a:r>
              <a:rPr lang="en-US" sz="1000" b="1" i="0" baseline="0">
                <a:solidFill>
                  <a:schemeClr val="dk1"/>
                </a:solidFill>
                <a:latin typeface="+mn-lt"/>
                <a:ea typeface="+mn-ea"/>
                <a:cs typeface="+mn-cs"/>
              </a:rPr>
              <a:t> Screen</a:t>
            </a:r>
            <a:endParaRPr lang="en-US" sz="1000"/>
          </a:p>
        </xdr:txBody>
      </xdr:sp>
      <xdr:grpSp>
        <xdr:nvGrpSpPr>
          <xdr:cNvPr id="44" name="TOC">
            <a:extLst>
              <a:ext uri="{FF2B5EF4-FFF2-40B4-BE49-F238E27FC236}">
                <a16:creationId xmlns:a16="http://schemas.microsoft.com/office/drawing/2014/main" id="{00000000-0008-0000-0900-00002C000000}"/>
              </a:ext>
            </a:extLst>
          </xdr:cNvPr>
          <xdr:cNvGrpSpPr/>
        </xdr:nvGrpSpPr>
        <xdr:grpSpPr>
          <a:xfrm>
            <a:off x="8180191" y="1298424"/>
            <a:ext cx="7362825" cy="3225145"/>
            <a:chOff x="9227941" y="1834109"/>
            <a:chExt cx="7362825" cy="2486611"/>
          </a:xfrm>
          <a:effectLst/>
        </xdr:grpSpPr>
        <xdr:sp macro="" textlink="">
          <xdr:nvSpPr>
            <xdr:cNvPr id="45" name="CONFIG_FRAME_BORDER">
              <a:extLst>
                <a:ext uri="{FF2B5EF4-FFF2-40B4-BE49-F238E27FC236}">
                  <a16:creationId xmlns:a16="http://schemas.microsoft.com/office/drawing/2014/main" id="{00000000-0008-0000-0900-00002D000000}"/>
                </a:ext>
              </a:extLst>
            </xdr:cNvPr>
            <xdr:cNvSpPr/>
          </xdr:nvSpPr>
          <xdr:spPr>
            <a:xfrm>
              <a:off x="9227941" y="2083505"/>
              <a:ext cx="7362825" cy="223721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46" name="CONFIG_FRAME_TITLE">
              <a:extLst>
                <a:ext uri="{FF2B5EF4-FFF2-40B4-BE49-F238E27FC236}">
                  <a16:creationId xmlns:a16="http://schemas.microsoft.com/office/drawing/2014/main" id="{00000000-0008-0000-0900-00002E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Welcome Screen </a:t>
              </a:r>
            </a:p>
          </xdr:txBody>
        </xdr:sp>
      </xdr:grpSp>
    </xdr:grpSp>
    <xdr:clientData fPrintsWithSheet="0"/>
  </xdr:twoCellAnchor>
  <xdr:twoCellAnchor editAs="oneCell">
    <xdr:from>
      <xdr:col>2</xdr:col>
      <xdr:colOff>9525</xdr:colOff>
      <xdr:row>0</xdr:row>
      <xdr:rowOff>0</xdr:rowOff>
    </xdr:from>
    <xdr:to>
      <xdr:col>21</xdr:col>
      <xdr:colOff>333375</xdr:colOff>
      <xdr:row>2</xdr:row>
      <xdr:rowOff>9524</xdr:rowOff>
    </xdr:to>
    <xdr:sp macro="" textlink="">
      <xdr:nvSpPr>
        <xdr:cNvPr id="43" name="HEADER_SHORTCUT_TOP">
          <a:hlinkClick xmlns:r="http://schemas.openxmlformats.org/officeDocument/2006/relationships" r:id="rId2" tooltip="Jump to Top"/>
          <a:extLst>
            <a:ext uri="{FF2B5EF4-FFF2-40B4-BE49-F238E27FC236}">
              <a16:creationId xmlns:a16="http://schemas.microsoft.com/office/drawing/2014/main" id="{00000000-0008-0000-0900-00002B000000}"/>
            </a:ext>
          </a:extLst>
        </xdr:cNvPr>
        <xdr:cNvSpPr/>
      </xdr:nvSpPr>
      <xdr:spPr>
        <a:xfrm>
          <a:off x="2143125" y="0"/>
          <a:ext cx="7477125" cy="790574"/>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p>
      </xdr:txBody>
    </xdr:sp>
    <xdr:clientData fPrintsWithSheet="0"/>
  </xdr:twoCellAnchor>
  <xdr:twoCellAnchor editAs="oneCell">
    <xdr:from>
      <xdr:col>2</xdr:col>
      <xdr:colOff>57150</xdr:colOff>
      <xdr:row>2</xdr:row>
      <xdr:rowOff>257176</xdr:rowOff>
    </xdr:from>
    <xdr:to>
      <xdr:col>25</xdr:col>
      <xdr:colOff>47625</xdr:colOff>
      <xdr:row>11</xdr:row>
      <xdr:rowOff>104774</xdr:rowOff>
    </xdr:to>
    <xdr:grpSp>
      <xdr:nvGrpSpPr>
        <xdr:cNvPr id="75" name="CONFIG_FRAME">
          <a:extLst>
            <a:ext uri="{FF2B5EF4-FFF2-40B4-BE49-F238E27FC236}">
              <a16:creationId xmlns:a16="http://schemas.microsoft.com/office/drawing/2014/main" id="{00000000-0008-0000-0900-00004B000000}"/>
            </a:ext>
          </a:extLst>
        </xdr:cNvPr>
        <xdr:cNvGrpSpPr/>
      </xdr:nvGrpSpPr>
      <xdr:grpSpPr>
        <a:xfrm>
          <a:off x="57150" y="1038226"/>
          <a:ext cx="8667750" cy="2333623"/>
          <a:chOff x="8180191" y="1298425"/>
          <a:chExt cx="7362825" cy="2330854"/>
        </a:xfrm>
      </xdr:grpSpPr>
      <xdr:sp macro="" textlink="">
        <xdr:nvSpPr>
          <xdr:cNvPr id="85" name="CONFIG_FRAME_SUBTITLE">
            <a:extLst>
              <a:ext uri="{FF2B5EF4-FFF2-40B4-BE49-F238E27FC236}">
                <a16:creationId xmlns:a16="http://schemas.microsoft.com/office/drawing/2014/main" id="{00000000-0008-0000-0900-000055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mn-lt"/>
                <a:ea typeface="+mn-ea"/>
                <a:cs typeface="+mn-cs"/>
              </a:rPr>
              <a:t>Document ID, Version</a:t>
            </a:r>
            <a:r>
              <a:rPr lang="en-US" sz="1000" b="1" baseline="0">
                <a:solidFill>
                  <a:schemeClr val="dk1"/>
                </a:solidFill>
                <a:latin typeface="+mn-lt"/>
                <a:ea typeface="+mn-ea"/>
                <a:cs typeface="+mn-cs"/>
              </a:rPr>
              <a:t> &amp; Revision Settings</a:t>
            </a:r>
            <a:endParaRPr lang="en-US" sz="1000"/>
          </a:p>
        </xdr:txBody>
      </xdr:sp>
      <xdr:grpSp>
        <xdr:nvGrpSpPr>
          <xdr:cNvPr id="86" name="TOC">
            <a:extLst>
              <a:ext uri="{FF2B5EF4-FFF2-40B4-BE49-F238E27FC236}">
                <a16:creationId xmlns:a16="http://schemas.microsoft.com/office/drawing/2014/main" id="{00000000-0008-0000-0900-000056000000}"/>
              </a:ext>
            </a:extLst>
          </xdr:cNvPr>
          <xdr:cNvGrpSpPr/>
        </xdr:nvGrpSpPr>
        <xdr:grpSpPr>
          <a:xfrm>
            <a:off x="8180191" y="1298425"/>
            <a:ext cx="7362825" cy="2330854"/>
            <a:chOff x="9227941" y="1834109"/>
            <a:chExt cx="7362825" cy="1797105"/>
          </a:xfrm>
          <a:effectLst/>
        </xdr:grpSpPr>
        <xdr:sp macro="" textlink="">
          <xdr:nvSpPr>
            <xdr:cNvPr id="87" name="CONFIG_FRAME_BORDER">
              <a:extLst>
                <a:ext uri="{FF2B5EF4-FFF2-40B4-BE49-F238E27FC236}">
                  <a16:creationId xmlns:a16="http://schemas.microsoft.com/office/drawing/2014/main" id="{00000000-0008-0000-0900-000057000000}"/>
                </a:ext>
              </a:extLst>
            </xdr:cNvPr>
            <xdr:cNvSpPr/>
          </xdr:nvSpPr>
          <xdr:spPr>
            <a:xfrm>
              <a:off x="9227941" y="2083504"/>
              <a:ext cx="7362825" cy="154771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88" name="CONFIG_FRAME_TITLE">
              <a:extLst>
                <a:ext uri="{FF2B5EF4-FFF2-40B4-BE49-F238E27FC236}">
                  <a16:creationId xmlns:a16="http://schemas.microsoft.com/office/drawing/2014/main" id="{00000000-0008-0000-0900-000058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Document &amp; Version</a:t>
              </a:r>
              <a:r>
                <a:rPr lang="en-US" sz="1100" b="1" baseline="0">
                  <a:solidFill>
                    <a:schemeClr val="bg1"/>
                  </a:solidFill>
                </a:rPr>
                <a:t> Maintenance</a:t>
              </a:r>
              <a:endParaRPr lang="en-US" sz="1100" b="1">
                <a:solidFill>
                  <a:schemeClr val="bg1"/>
                </a:solidFill>
              </a:endParaRPr>
            </a:p>
          </xdr:txBody>
        </xdr:sp>
      </xdr:grpSp>
    </xdr:grpSp>
    <xdr:clientData fPrintsWithSheet="0"/>
  </xdr:twoCellAnchor>
  <xdr:twoCellAnchor>
    <xdr:from>
      <xdr:col>5</xdr:col>
      <xdr:colOff>361950</xdr:colOff>
      <xdr:row>32</xdr:row>
      <xdr:rowOff>142875</xdr:rowOff>
    </xdr:from>
    <xdr:to>
      <xdr:col>19</xdr:col>
      <xdr:colOff>525780</xdr:colOff>
      <xdr:row>32</xdr:row>
      <xdr:rowOff>142875</xdr:rowOff>
    </xdr:to>
    <xdr:cxnSp macro="">
      <xdr:nvCxnSpPr>
        <xdr:cNvPr id="28" name="DOTTED_LINE">
          <a:extLst>
            <a:ext uri="{FF2B5EF4-FFF2-40B4-BE49-F238E27FC236}">
              <a16:creationId xmlns:a16="http://schemas.microsoft.com/office/drawing/2014/main" id="{00000000-0008-0000-0900-00001C000000}"/>
            </a:ext>
          </a:extLst>
        </xdr:cNvPr>
        <xdr:cNvCxnSpPr/>
      </xdr:nvCxnSpPr>
      <xdr:spPr>
        <a:xfrm>
          <a:off x="1285875" y="6448425"/>
          <a:ext cx="563118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xdr:colOff>
      <xdr:row>33</xdr:row>
      <xdr:rowOff>142875</xdr:rowOff>
    </xdr:from>
    <xdr:to>
      <xdr:col>19</xdr:col>
      <xdr:colOff>525780</xdr:colOff>
      <xdr:row>33</xdr:row>
      <xdr:rowOff>142875</xdr:rowOff>
    </xdr:to>
    <xdr:cxnSp macro="">
      <xdr:nvCxnSpPr>
        <xdr:cNvPr id="30" name="DOTTED_LINE">
          <a:extLst>
            <a:ext uri="{FF2B5EF4-FFF2-40B4-BE49-F238E27FC236}">
              <a16:creationId xmlns:a16="http://schemas.microsoft.com/office/drawing/2014/main" id="{00000000-0008-0000-0900-00001E000000}"/>
            </a:ext>
          </a:extLst>
        </xdr:cNvPr>
        <xdr:cNvCxnSpPr/>
      </xdr:nvCxnSpPr>
      <xdr:spPr>
        <a:xfrm>
          <a:off x="1171575" y="6448425"/>
          <a:ext cx="498348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381000</xdr:colOff>
      <xdr:row>34</xdr:row>
      <xdr:rowOff>142875</xdr:rowOff>
    </xdr:from>
    <xdr:to>
      <xdr:col>19</xdr:col>
      <xdr:colOff>525780</xdr:colOff>
      <xdr:row>34</xdr:row>
      <xdr:rowOff>142875</xdr:rowOff>
    </xdr:to>
    <xdr:cxnSp macro="">
      <xdr:nvCxnSpPr>
        <xdr:cNvPr id="32" name="DOTTED_LINE">
          <a:extLst>
            <a:ext uri="{FF2B5EF4-FFF2-40B4-BE49-F238E27FC236}">
              <a16:creationId xmlns:a16="http://schemas.microsoft.com/office/drawing/2014/main" id="{00000000-0008-0000-0900-000020000000}"/>
            </a:ext>
          </a:extLst>
        </xdr:cNvPr>
        <xdr:cNvCxnSpPr/>
      </xdr:nvCxnSpPr>
      <xdr:spPr>
        <a:xfrm>
          <a:off x="1304925" y="7000875"/>
          <a:ext cx="561213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514350</xdr:colOff>
      <xdr:row>35</xdr:row>
      <xdr:rowOff>142875</xdr:rowOff>
    </xdr:from>
    <xdr:to>
      <xdr:col>19</xdr:col>
      <xdr:colOff>525780</xdr:colOff>
      <xdr:row>35</xdr:row>
      <xdr:rowOff>142875</xdr:rowOff>
    </xdr:to>
    <xdr:cxnSp macro="">
      <xdr:nvCxnSpPr>
        <xdr:cNvPr id="34" name="DOTTED_LINE">
          <a:extLst>
            <a:ext uri="{FF2B5EF4-FFF2-40B4-BE49-F238E27FC236}">
              <a16:creationId xmlns:a16="http://schemas.microsoft.com/office/drawing/2014/main" id="{00000000-0008-0000-0900-000022000000}"/>
            </a:ext>
          </a:extLst>
        </xdr:cNvPr>
        <xdr:cNvCxnSpPr/>
      </xdr:nvCxnSpPr>
      <xdr:spPr>
        <a:xfrm>
          <a:off x="1438275" y="7277100"/>
          <a:ext cx="547878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66675</xdr:colOff>
      <xdr:row>26</xdr:row>
      <xdr:rowOff>238125</xdr:rowOff>
    </xdr:from>
    <xdr:to>
      <xdr:col>25</xdr:col>
      <xdr:colOff>57150</xdr:colOff>
      <xdr:row>205</xdr:row>
      <xdr:rowOff>95249</xdr:rowOff>
    </xdr:to>
    <xdr:grpSp>
      <xdr:nvGrpSpPr>
        <xdr:cNvPr id="47" name="CONFIG_FRAME">
          <a:extLst>
            <a:ext uri="{FF2B5EF4-FFF2-40B4-BE49-F238E27FC236}">
              <a16:creationId xmlns:a16="http://schemas.microsoft.com/office/drawing/2014/main" id="{00000000-0008-0000-0900-00002F000000}"/>
            </a:ext>
          </a:extLst>
        </xdr:cNvPr>
        <xdr:cNvGrpSpPr/>
      </xdr:nvGrpSpPr>
      <xdr:grpSpPr>
        <a:xfrm>
          <a:off x="66675" y="7648575"/>
          <a:ext cx="8667750" cy="49301399"/>
          <a:chOff x="8180191" y="1298424"/>
          <a:chExt cx="7362825" cy="49242922"/>
        </a:xfrm>
      </xdr:grpSpPr>
      <xdr:sp macro="" textlink="">
        <xdr:nvSpPr>
          <xdr:cNvPr id="48" name="CONFIG_FRAME_SUBTITLE">
            <a:extLst>
              <a:ext uri="{FF2B5EF4-FFF2-40B4-BE49-F238E27FC236}">
                <a16:creationId xmlns:a16="http://schemas.microsoft.com/office/drawing/2014/main" id="{00000000-0008-0000-0900-000030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mn-lt"/>
                <a:ea typeface="+mn-ea"/>
                <a:cs typeface="+mn-cs"/>
              </a:rPr>
              <a:t>80%</a:t>
            </a:r>
            <a:r>
              <a:rPr lang="en-US" sz="1000" b="1" baseline="0">
                <a:solidFill>
                  <a:schemeClr val="dk1"/>
                </a:solidFill>
                <a:latin typeface="+mn-lt"/>
                <a:ea typeface="+mn-ea"/>
                <a:cs typeface="+mn-cs"/>
              </a:rPr>
              <a:t> AMI Limits &amp; Data As Of Dates</a:t>
            </a:r>
            <a:endParaRPr lang="en-US" sz="1000"/>
          </a:p>
        </xdr:txBody>
      </xdr:sp>
      <xdr:grpSp>
        <xdr:nvGrpSpPr>
          <xdr:cNvPr id="49" name="TOC">
            <a:extLst>
              <a:ext uri="{FF2B5EF4-FFF2-40B4-BE49-F238E27FC236}">
                <a16:creationId xmlns:a16="http://schemas.microsoft.com/office/drawing/2014/main" id="{00000000-0008-0000-0900-000031000000}"/>
              </a:ext>
            </a:extLst>
          </xdr:cNvPr>
          <xdr:cNvGrpSpPr/>
        </xdr:nvGrpSpPr>
        <xdr:grpSpPr>
          <a:xfrm>
            <a:off x="8180191" y="1298424"/>
            <a:ext cx="7362825" cy="49242922"/>
            <a:chOff x="9227941" y="1834109"/>
            <a:chExt cx="7362825" cy="37966652"/>
          </a:xfrm>
          <a:effectLst/>
        </xdr:grpSpPr>
        <xdr:sp macro="" textlink="">
          <xdr:nvSpPr>
            <xdr:cNvPr id="50" name="CONFIG_FRAME_BORDER">
              <a:extLst>
                <a:ext uri="{FF2B5EF4-FFF2-40B4-BE49-F238E27FC236}">
                  <a16:creationId xmlns:a16="http://schemas.microsoft.com/office/drawing/2014/main" id="{00000000-0008-0000-0900-000032000000}"/>
                </a:ext>
              </a:extLst>
            </xdr:cNvPr>
            <xdr:cNvSpPr/>
          </xdr:nvSpPr>
          <xdr:spPr>
            <a:xfrm>
              <a:off x="9227941" y="2083504"/>
              <a:ext cx="7362825" cy="37717257"/>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51" name="CONFIG_FRAME_TITLE">
              <a:extLst>
                <a:ext uri="{FF2B5EF4-FFF2-40B4-BE49-F238E27FC236}">
                  <a16:creationId xmlns:a16="http://schemas.microsoft.com/office/drawing/2014/main" id="{00000000-0008-0000-0900-000033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Area</a:t>
              </a:r>
              <a:r>
                <a:rPr lang="en-US" sz="1100" b="1" baseline="0">
                  <a:solidFill>
                    <a:schemeClr val="bg1"/>
                  </a:solidFill>
                </a:rPr>
                <a:t> Median Income Limits</a:t>
              </a:r>
              <a:endParaRPr lang="en-US" sz="1100" b="1">
                <a:solidFill>
                  <a:schemeClr val="bg1"/>
                </a:solidFill>
              </a:endParaRPr>
            </a:p>
          </xdr:txBody>
        </xdr:sp>
      </xdr:grpSp>
    </xdr:grpSp>
    <xdr:clientData fPrintsWithSheet="0"/>
  </xdr:twoCellAnchor>
  <xdr:twoCellAnchor>
    <xdr:from>
      <xdr:col>6</xdr:col>
      <xdr:colOff>47625</xdr:colOff>
      <xdr:row>8</xdr:row>
      <xdr:rowOff>142875</xdr:rowOff>
    </xdr:from>
    <xdr:to>
      <xdr:col>20</xdr:col>
      <xdr:colOff>66675</xdr:colOff>
      <xdr:row>8</xdr:row>
      <xdr:rowOff>142875</xdr:rowOff>
    </xdr:to>
    <xdr:cxnSp macro="">
      <xdr:nvCxnSpPr>
        <xdr:cNvPr id="52" name="DOTTED_LINE">
          <a:extLst>
            <a:ext uri="{FF2B5EF4-FFF2-40B4-BE49-F238E27FC236}">
              <a16:creationId xmlns:a16="http://schemas.microsoft.com/office/drawing/2014/main" id="{00000000-0008-0000-0900-000034000000}"/>
            </a:ext>
          </a:extLst>
        </xdr:cNvPr>
        <xdr:cNvCxnSpPr/>
      </xdr:nvCxnSpPr>
      <xdr:spPr>
        <a:xfrm>
          <a:off x="1685925" y="2028825"/>
          <a:ext cx="53530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9</xdr:row>
      <xdr:rowOff>152400</xdr:rowOff>
    </xdr:from>
    <xdr:to>
      <xdr:col>20</xdr:col>
      <xdr:colOff>57150</xdr:colOff>
      <xdr:row>9</xdr:row>
      <xdr:rowOff>152400</xdr:rowOff>
    </xdr:to>
    <xdr:cxnSp macro="">
      <xdr:nvCxnSpPr>
        <xdr:cNvPr id="53" name="DOTTED_LINE">
          <a:extLst>
            <a:ext uri="{FF2B5EF4-FFF2-40B4-BE49-F238E27FC236}">
              <a16:creationId xmlns:a16="http://schemas.microsoft.com/office/drawing/2014/main" id="{00000000-0008-0000-0900-000035000000}"/>
            </a:ext>
          </a:extLst>
        </xdr:cNvPr>
        <xdr:cNvCxnSpPr/>
      </xdr:nvCxnSpPr>
      <xdr:spPr>
        <a:xfrm>
          <a:off x="1743075" y="231457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466725</xdr:colOff>
      <xdr:row>17</xdr:row>
      <xdr:rowOff>152400</xdr:rowOff>
    </xdr:from>
    <xdr:to>
      <xdr:col>20</xdr:col>
      <xdr:colOff>133350</xdr:colOff>
      <xdr:row>17</xdr:row>
      <xdr:rowOff>152400</xdr:rowOff>
    </xdr:to>
    <xdr:cxnSp macro="">
      <xdr:nvCxnSpPr>
        <xdr:cNvPr id="37" name="DOTTED_LINE">
          <a:extLst>
            <a:ext uri="{FF2B5EF4-FFF2-40B4-BE49-F238E27FC236}">
              <a16:creationId xmlns:a16="http://schemas.microsoft.com/office/drawing/2014/main" id="{00000000-0008-0000-0900-000025000000}"/>
            </a:ext>
          </a:extLst>
        </xdr:cNvPr>
        <xdr:cNvCxnSpPr/>
      </xdr:nvCxnSpPr>
      <xdr:spPr>
        <a:xfrm>
          <a:off x="3048000" y="4524375"/>
          <a:ext cx="4057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342900</xdr:colOff>
      <xdr:row>18</xdr:row>
      <xdr:rowOff>152400</xdr:rowOff>
    </xdr:from>
    <xdr:to>
      <xdr:col>20</xdr:col>
      <xdr:colOff>114300</xdr:colOff>
      <xdr:row>18</xdr:row>
      <xdr:rowOff>152400</xdr:rowOff>
    </xdr:to>
    <xdr:cxnSp macro="">
      <xdr:nvCxnSpPr>
        <xdr:cNvPr id="40" name="DOTTED_LINE">
          <a:extLst>
            <a:ext uri="{FF2B5EF4-FFF2-40B4-BE49-F238E27FC236}">
              <a16:creationId xmlns:a16="http://schemas.microsoft.com/office/drawing/2014/main" id="{00000000-0008-0000-0900-000028000000}"/>
            </a:ext>
          </a:extLst>
        </xdr:cNvPr>
        <xdr:cNvCxnSpPr/>
      </xdr:nvCxnSpPr>
      <xdr:spPr>
        <a:xfrm>
          <a:off x="8105775" y="4800600"/>
          <a:ext cx="11144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6</xdr:row>
      <xdr:rowOff>142875</xdr:rowOff>
    </xdr:from>
    <xdr:to>
      <xdr:col>20</xdr:col>
      <xdr:colOff>123825</xdr:colOff>
      <xdr:row>6</xdr:row>
      <xdr:rowOff>142875</xdr:rowOff>
    </xdr:to>
    <xdr:cxnSp macro="">
      <xdr:nvCxnSpPr>
        <xdr:cNvPr id="54" name="DOTTED_LINE">
          <a:extLst>
            <a:ext uri="{FF2B5EF4-FFF2-40B4-BE49-F238E27FC236}">
              <a16:creationId xmlns:a16="http://schemas.microsoft.com/office/drawing/2014/main" id="{00000000-0008-0000-0900-000036000000}"/>
            </a:ext>
          </a:extLst>
        </xdr:cNvPr>
        <xdr:cNvCxnSpPr/>
      </xdr:nvCxnSpPr>
      <xdr:spPr>
        <a:xfrm>
          <a:off x="3133725" y="2028825"/>
          <a:ext cx="60960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209550</xdr:colOff>
      <xdr:row>7</xdr:row>
      <xdr:rowOff>142875</xdr:rowOff>
    </xdr:from>
    <xdr:to>
      <xdr:col>20</xdr:col>
      <xdr:colOff>123825</xdr:colOff>
      <xdr:row>7</xdr:row>
      <xdr:rowOff>142875</xdr:rowOff>
    </xdr:to>
    <xdr:cxnSp macro="">
      <xdr:nvCxnSpPr>
        <xdr:cNvPr id="55" name="DOTTED_LINE">
          <a:extLst>
            <a:ext uri="{FF2B5EF4-FFF2-40B4-BE49-F238E27FC236}">
              <a16:creationId xmlns:a16="http://schemas.microsoft.com/office/drawing/2014/main" id="{00000000-0008-0000-0900-000037000000}"/>
            </a:ext>
          </a:extLst>
        </xdr:cNvPr>
        <xdr:cNvCxnSpPr/>
      </xdr:nvCxnSpPr>
      <xdr:spPr>
        <a:xfrm>
          <a:off x="3267075" y="2305050"/>
          <a:ext cx="5962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285750</xdr:colOff>
      <xdr:row>19</xdr:row>
      <xdr:rowOff>152400</xdr:rowOff>
    </xdr:from>
    <xdr:to>
      <xdr:col>20</xdr:col>
      <xdr:colOff>133350</xdr:colOff>
      <xdr:row>19</xdr:row>
      <xdr:rowOff>152400</xdr:rowOff>
    </xdr:to>
    <xdr:cxnSp macro="">
      <xdr:nvCxnSpPr>
        <xdr:cNvPr id="56" name="DOTTED_LINE">
          <a:extLst>
            <a:ext uri="{FF2B5EF4-FFF2-40B4-BE49-F238E27FC236}">
              <a16:creationId xmlns:a16="http://schemas.microsoft.com/office/drawing/2014/main" id="{00000000-0008-0000-0900-000038000000}"/>
            </a:ext>
          </a:extLst>
        </xdr:cNvPr>
        <xdr:cNvCxnSpPr/>
      </xdr:nvCxnSpPr>
      <xdr:spPr>
        <a:xfrm>
          <a:off x="5000625" y="5629275"/>
          <a:ext cx="42386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295275</xdr:colOff>
      <xdr:row>20</xdr:row>
      <xdr:rowOff>152400</xdr:rowOff>
    </xdr:from>
    <xdr:to>
      <xdr:col>20</xdr:col>
      <xdr:colOff>133350</xdr:colOff>
      <xdr:row>20</xdr:row>
      <xdr:rowOff>152400</xdr:rowOff>
    </xdr:to>
    <xdr:cxnSp macro="">
      <xdr:nvCxnSpPr>
        <xdr:cNvPr id="57" name="DOTTED_LINE">
          <a:extLst>
            <a:ext uri="{FF2B5EF4-FFF2-40B4-BE49-F238E27FC236}">
              <a16:creationId xmlns:a16="http://schemas.microsoft.com/office/drawing/2014/main" id="{00000000-0008-0000-0900-000039000000}"/>
            </a:ext>
          </a:extLst>
        </xdr:cNvPr>
        <xdr:cNvCxnSpPr/>
      </xdr:nvCxnSpPr>
      <xdr:spPr>
        <a:xfrm>
          <a:off x="4248150" y="5905500"/>
          <a:ext cx="4991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21</xdr:row>
      <xdr:rowOff>152400</xdr:rowOff>
    </xdr:from>
    <xdr:to>
      <xdr:col>20</xdr:col>
      <xdr:colOff>133350</xdr:colOff>
      <xdr:row>21</xdr:row>
      <xdr:rowOff>152400</xdr:rowOff>
    </xdr:to>
    <xdr:cxnSp macro="">
      <xdr:nvCxnSpPr>
        <xdr:cNvPr id="58" name="DOTTED_LINE">
          <a:extLst>
            <a:ext uri="{FF2B5EF4-FFF2-40B4-BE49-F238E27FC236}">
              <a16:creationId xmlns:a16="http://schemas.microsoft.com/office/drawing/2014/main" id="{00000000-0008-0000-0900-00003A000000}"/>
            </a:ext>
          </a:extLst>
        </xdr:cNvPr>
        <xdr:cNvCxnSpPr/>
      </xdr:nvCxnSpPr>
      <xdr:spPr>
        <a:xfrm>
          <a:off x="4819650" y="6181725"/>
          <a:ext cx="4419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466725</xdr:colOff>
      <xdr:row>22</xdr:row>
      <xdr:rowOff>152400</xdr:rowOff>
    </xdr:from>
    <xdr:to>
      <xdr:col>20</xdr:col>
      <xdr:colOff>133350</xdr:colOff>
      <xdr:row>22</xdr:row>
      <xdr:rowOff>152400</xdr:rowOff>
    </xdr:to>
    <xdr:cxnSp macro="">
      <xdr:nvCxnSpPr>
        <xdr:cNvPr id="59" name="DOTTED_LINE">
          <a:extLst>
            <a:ext uri="{FF2B5EF4-FFF2-40B4-BE49-F238E27FC236}">
              <a16:creationId xmlns:a16="http://schemas.microsoft.com/office/drawing/2014/main" id="{00000000-0008-0000-0900-00003B000000}"/>
            </a:ext>
          </a:extLst>
        </xdr:cNvPr>
        <xdr:cNvCxnSpPr/>
      </xdr:nvCxnSpPr>
      <xdr:spPr>
        <a:xfrm>
          <a:off x="4419600" y="6457950"/>
          <a:ext cx="4819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228600</xdr:colOff>
      <xdr:row>24</xdr:row>
      <xdr:rowOff>142875</xdr:rowOff>
    </xdr:from>
    <xdr:to>
      <xdr:col>20</xdr:col>
      <xdr:colOff>133350</xdr:colOff>
      <xdr:row>24</xdr:row>
      <xdr:rowOff>142875</xdr:rowOff>
    </xdr:to>
    <xdr:cxnSp macro="">
      <xdr:nvCxnSpPr>
        <xdr:cNvPr id="60" name="DOTTED_LINE">
          <a:extLst>
            <a:ext uri="{FF2B5EF4-FFF2-40B4-BE49-F238E27FC236}">
              <a16:creationId xmlns:a16="http://schemas.microsoft.com/office/drawing/2014/main" id="{00000000-0008-0000-0900-00003C000000}"/>
            </a:ext>
          </a:extLst>
        </xdr:cNvPr>
        <xdr:cNvCxnSpPr/>
      </xdr:nvCxnSpPr>
      <xdr:spPr>
        <a:xfrm>
          <a:off x="7229475" y="6724650"/>
          <a:ext cx="2009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504825</xdr:colOff>
      <xdr:row>25</xdr:row>
      <xdr:rowOff>142875</xdr:rowOff>
    </xdr:from>
    <xdr:to>
      <xdr:col>20</xdr:col>
      <xdr:colOff>123825</xdr:colOff>
      <xdr:row>25</xdr:row>
      <xdr:rowOff>142875</xdr:rowOff>
    </xdr:to>
    <xdr:cxnSp macro="">
      <xdr:nvCxnSpPr>
        <xdr:cNvPr id="61" name="DOTTED_LINE">
          <a:extLst>
            <a:ext uri="{FF2B5EF4-FFF2-40B4-BE49-F238E27FC236}">
              <a16:creationId xmlns:a16="http://schemas.microsoft.com/office/drawing/2014/main" id="{00000000-0008-0000-0900-00003D000000}"/>
            </a:ext>
          </a:extLst>
        </xdr:cNvPr>
        <xdr:cNvCxnSpPr/>
      </xdr:nvCxnSpPr>
      <xdr:spPr>
        <a:xfrm>
          <a:off x="8267700" y="7000875"/>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76200</xdr:colOff>
      <xdr:row>23</xdr:row>
      <xdr:rowOff>152400</xdr:rowOff>
    </xdr:from>
    <xdr:to>
      <xdr:col>20</xdr:col>
      <xdr:colOff>133350</xdr:colOff>
      <xdr:row>23</xdr:row>
      <xdr:rowOff>152400</xdr:rowOff>
    </xdr:to>
    <xdr:cxnSp macro="">
      <xdr:nvCxnSpPr>
        <xdr:cNvPr id="62" name="DOTTED_LINE">
          <a:extLst>
            <a:ext uri="{FF2B5EF4-FFF2-40B4-BE49-F238E27FC236}">
              <a16:creationId xmlns:a16="http://schemas.microsoft.com/office/drawing/2014/main" id="{00000000-0008-0000-0900-00003E000000}"/>
            </a:ext>
          </a:extLst>
        </xdr:cNvPr>
        <xdr:cNvCxnSpPr/>
      </xdr:nvCxnSpPr>
      <xdr:spPr>
        <a:xfrm>
          <a:off x="4000500" y="6734175"/>
          <a:ext cx="31051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10</xdr:row>
      <xdr:rowOff>142875</xdr:rowOff>
    </xdr:from>
    <xdr:to>
      <xdr:col>20</xdr:col>
      <xdr:colOff>123825</xdr:colOff>
      <xdr:row>10</xdr:row>
      <xdr:rowOff>142875</xdr:rowOff>
    </xdr:to>
    <xdr:cxnSp macro="">
      <xdr:nvCxnSpPr>
        <xdr:cNvPr id="63" name="DOTTED_LINE">
          <a:extLst>
            <a:ext uri="{FF2B5EF4-FFF2-40B4-BE49-F238E27FC236}">
              <a16:creationId xmlns:a16="http://schemas.microsoft.com/office/drawing/2014/main" id="{00000000-0008-0000-0900-00003F000000}"/>
            </a:ext>
          </a:extLst>
        </xdr:cNvPr>
        <xdr:cNvCxnSpPr/>
      </xdr:nvCxnSpPr>
      <xdr:spPr>
        <a:xfrm>
          <a:off x="3352800" y="3133725"/>
          <a:ext cx="3743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295275</xdr:colOff>
      <xdr:row>17</xdr:row>
      <xdr:rowOff>9525</xdr:rowOff>
    </xdr:from>
    <xdr:ext cx="2200275" cy="264560"/>
    <xdr:sp macro="" textlink="$B$122">
      <xdr:nvSpPr>
        <xdr:cNvPr id="209" name="TOC_SECTION_10">
          <a:hlinkClick xmlns:r="http://schemas.openxmlformats.org/officeDocument/2006/relationships" r:id="rId1"/>
          <a:extLst>
            <a:ext uri="{FF2B5EF4-FFF2-40B4-BE49-F238E27FC236}">
              <a16:creationId xmlns:a16="http://schemas.microsoft.com/office/drawing/2014/main" id="{00000000-0008-0000-0100-0000D1000000}"/>
            </a:ext>
          </a:extLst>
        </xdr:cNvPr>
        <xdr:cNvSpPr txBox="1"/>
      </xdr:nvSpPr>
      <xdr:spPr>
        <a:xfrm>
          <a:off x="12163425"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BFAA168D-172E-4430-9045-F99273F30A4A}" type="TxLink">
            <a:rPr lang="en-US" sz="1000" b="1" i="0" u="sng" strike="noStrike">
              <a:solidFill>
                <a:schemeClr val="accent1">
                  <a:lumMod val="75000"/>
                </a:schemeClr>
              </a:solidFill>
              <a:latin typeface="Calibri"/>
              <a:cs typeface="Calibri"/>
            </a:rPr>
            <a:pPr algn="l"/>
            <a:t>Household Qualification</a:t>
          </a:fld>
          <a:endParaRPr lang="en-US" sz="1000" b="1" i="0" u="sng">
            <a:solidFill>
              <a:schemeClr val="accent1">
                <a:lumMod val="75000"/>
              </a:schemeClr>
            </a:solidFill>
          </a:endParaRPr>
        </a:p>
      </xdr:txBody>
    </xdr:sp>
    <xdr:clientData fPrintsWithSheet="0"/>
  </xdr:oneCellAnchor>
  <xdr:oneCellAnchor>
    <xdr:from>
      <xdr:col>8</xdr:col>
      <xdr:colOff>200024</xdr:colOff>
      <xdr:row>16</xdr:row>
      <xdr:rowOff>9525</xdr:rowOff>
    </xdr:from>
    <xdr:ext cx="2295525" cy="264560"/>
    <xdr:sp macro="" textlink="$B$27">
      <xdr:nvSpPr>
        <xdr:cNvPr id="49" name="TOC_SECTION_1">
          <a:hlinkClick xmlns:r="http://schemas.openxmlformats.org/officeDocument/2006/relationships" r:id="rId2"/>
          <a:extLst>
            <a:ext uri="{FF2B5EF4-FFF2-40B4-BE49-F238E27FC236}">
              <a16:creationId xmlns:a16="http://schemas.microsoft.com/office/drawing/2014/main" id="{00000000-0008-0000-0100-000031000000}"/>
            </a:ext>
          </a:extLst>
        </xdr:cNvPr>
        <xdr:cNvSpPr txBox="1"/>
      </xdr:nvSpPr>
      <xdr:spPr>
        <a:xfrm>
          <a:off x="8486774" y="23431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F6F54798-E607-4CA9-99FB-B3AB05C568D1}" type="TxLink">
            <a:rPr lang="en-US" sz="1000" b="1" i="0" u="sng" strike="noStrike">
              <a:solidFill>
                <a:schemeClr val="accent1">
                  <a:lumMod val="75000"/>
                </a:schemeClr>
              </a:solidFill>
              <a:latin typeface="Calibri"/>
              <a:ea typeface="+mn-ea"/>
              <a:cs typeface="+mn-cs"/>
            </a:rPr>
            <a:pPr marL="0" indent="0" algn="l"/>
            <a:t>FHLBNY Member</a:t>
          </a:fld>
          <a:endParaRPr lang="en-US" sz="1000" b="1" i="0" u="sng" strike="noStrike">
            <a:solidFill>
              <a:schemeClr val="accent1">
                <a:lumMod val="75000"/>
              </a:schemeClr>
            </a:solidFill>
            <a:latin typeface="Calibri"/>
            <a:ea typeface="+mn-ea"/>
            <a:cs typeface="+mn-cs"/>
          </a:endParaRPr>
        </a:p>
      </xdr:txBody>
    </xdr:sp>
    <xdr:clientData fPrintsWithSheet="0"/>
  </xdr:oneCellAnchor>
  <xdr:oneCellAnchor>
    <xdr:from>
      <xdr:col>8</xdr:col>
      <xdr:colOff>200024</xdr:colOff>
      <xdr:row>17</xdr:row>
      <xdr:rowOff>9525</xdr:rowOff>
    </xdr:from>
    <xdr:ext cx="2295525" cy="264560"/>
    <xdr:sp macro="" textlink="$B$60">
      <xdr:nvSpPr>
        <xdr:cNvPr id="60" name="TOC_SECTION_2">
          <a:hlinkClick xmlns:r="http://schemas.openxmlformats.org/officeDocument/2006/relationships" r:id="rId3"/>
          <a:extLst>
            <a:ext uri="{FF2B5EF4-FFF2-40B4-BE49-F238E27FC236}">
              <a16:creationId xmlns:a16="http://schemas.microsoft.com/office/drawing/2014/main" id="{00000000-0008-0000-0100-00003C000000}"/>
            </a:ext>
          </a:extLst>
        </xdr:cNvPr>
        <xdr:cNvSpPr txBox="1"/>
      </xdr:nvSpPr>
      <xdr:spPr>
        <a:xfrm>
          <a:off x="8486774" y="26193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60896E56-02AF-450F-83A0-DE79B7AE6E83}" type="TxLink">
            <a:rPr lang="en-US" sz="1000" b="1" i="0" u="sng" strike="noStrike">
              <a:solidFill>
                <a:schemeClr val="accent1">
                  <a:lumMod val="75000"/>
                </a:schemeClr>
              </a:solidFill>
              <a:latin typeface="Calibri"/>
              <a:ea typeface="+mn-ea"/>
              <a:cs typeface="+mn-cs"/>
            </a:rPr>
            <a:pPr marL="0" indent="0" algn="l"/>
            <a:t>Household Information</a:t>
          </a:fld>
          <a:endParaRPr lang="en-US" sz="1000" b="1" i="0" u="sng" strike="noStrike">
            <a:solidFill>
              <a:schemeClr val="accent1">
                <a:lumMod val="75000"/>
              </a:schemeClr>
            </a:solidFill>
            <a:latin typeface="Calibri"/>
            <a:ea typeface="+mn-ea"/>
            <a:cs typeface="+mn-cs"/>
          </a:endParaRPr>
        </a:p>
      </xdr:txBody>
    </xdr:sp>
    <xdr:clientData fPrintsWithSheet="0"/>
  </xdr:oneCellAnchor>
  <xdr:oneCellAnchor>
    <xdr:from>
      <xdr:col>8</xdr:col>
      <xdr:colOff>200024</xdr:colOff>
      <xdr:row>18</xdr:row>
      <xdr:rowOff>9525</xdr:rowOff>
    </xdr:from>
    <xdr:ext cx="2295525" cy="264560"/>
    <xdr:sp macro="" textlink="$B$76">
      <xdr:nvSpPr>
        <xdr:cNvPr id="61" name="TOC_SECTION_3">
          <a:hlinkClick xmlns:r="http://schemas.openxmlformats.org/officeDocument/2006/relationships" r:id="rId4"/>
          <a:extLst>
            <a:ext uri="{FF2B5EF4-FFF2-40B4-BE49-F238E27FC236}">
              <a16:creationId xmlns:a16="http://schemas.microsoft.com/office/drawing/2014/main" id="{00000000-0008-0000-0100-00003D000000}"/>
            </a:ext>
          </a:extLst>
        </xdr:cNvPr>
        <xdr:cNvSpPr txBox="1"/>
      </xdr:nvSpPr>
      <xdr:spPr>
        <a:xfrm>
          <a:off x="8486774" y="24479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F3897FBB-DF3B-4B73-902D-D31EFF95B025}" type="TxLink">
            <a:rPr lang="en-US" sz="1000" b="1" i="0" u="sng" strike="noStrike">
              <a:solidFill>
                <a:schemeClr val="accent1">
                  <a:lumMod val="75000"/>
                </a:schemeClr>
              </a:solidFill>
              <a:latin typeface="Calibri"/>
            </a:rPr>
            <a:pPr algn="l"/>
            <a:t>Grant Summary</a:t>
          </a:fld>
          <a:endParaRPr lang="en-US" sz="1000" b="1" i="0" u="sng">
            <a:solidFill>
              <a:schemeClr val="accent1">
                <a:lumMod val="75000"/>
              </a:schemeClr>
            </a:solidFill>
          </a:endParaRPr>
        </a:p>
      </xdr:txBody>
    </xdr:sp>
    <xdr:clientData fPrintsWithSheet="0"/>
  </xdr:oneCellAnchor>
  <xdr:oneCellAnchor>
    <xdr:from>
      <xdr:col>16</xdr:col>
      <xdr:colOff>295275</xdr:colOff>
      <xdr:row>16</xdr:row>
      <xdr:rowOff>9525</xdr:rowOff>
    </xdr:from>
    <xdr:ext cx="2200275" cy="264560"/>
    <xdr:sp macro="" textlink="$B$99">
      <xdr:nvSpPr>
        <xdr:cNvPr id="293" name="TOC_SECTION_9">
          <a:hlinkClick xmlns:r="http://schemas.openxmlformats.org/officeDocument/2006/relationships" r:id="rId5"/>
          <a:extLst>
            <a:ext uri="{FF2B5EF4-FFF2-40B4-BE49-F238E27FC236}">
              <a16:creationId xmlns:a16="http://schemas.microsoft.com/office/drawing/2014/main" id="{00000000-0008-0000-0100-000025010000}"/>
            </a:ext>
          </a:extLst>
        </xdr:cNvPr>
        <xdr:cNvSpPr txBox="1"/>
      </xdr:nvSpPr>
      <xdr:spPr>
        <a:xfrm>
          <a:off x="12163425" y="4248150"/>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177A4A5A-073A-414A-AACE-C550FFAA6913}" type="TxLink">
            <a:rPr lang="en-US" sz="1000" b="1" i="0" u="sng" strike="noStrike">
              <a:solidFill>
                <a:schemeClr val="accent1">
                  <a:lumMod val="75000"/>
                </a:schemeClr>
              </a:solidFill>
              <a:latin typeface="Calibri"/>
              <a:cs typeface="Calibri"/>
            </a:rPr>
            <a:pPr algn="l"/>
            <a:t>Purchase Property</a:t>
          </a:fld>
          <a:endParaRPr lang="en-US" sz="1000" b="1" i="0" u="sng">
            <a:solidFill>
              <a:schemeClr val="accent1">
                <a:lumMod val="75000"/>
              </a:schemeClr>
            </a:solidFill>
          </a:endParaRPr>
        </a:p>
      </xdr:txBody>
    </xdr:sp>
    <xdr:clientData fPrintsWithSheet="0"/>
  </xdr:oneCellAnchor>
  <xdr:twoCellAnchor editAs="absolute">
    <xdr:from>
      <xdr:col>16384</xdr:col>
      <xdr:colOff>613928</xdr:colOff>
      <xdr:row>13</xdr:row>
      <xdr:rowOff>180975</xdr:rowOff>
    </xdr:from>
    <xdr:to>
      <xdr:col>16384</xdr:col>
      <xdr:colOff>613928</xdr:colOff>
      <xdr:row>15</xdr:row>
      <xdr:rowOff>228600</xdr:rowOff>
    </xdr:to>
    <xdr:sp macro="" textlink="">
      <xdr:nvSpPr>
        <xdr:cNvPr id="17" name="COVER_CELLS_01">
          <a:extLst>
            <a:ext uri="{FF2B5EF4-FFF2-40B4-BE49-F238E27FC236}">
              <a16:creationId xmlns:a16="http://schemas.microsoft.com/office/drawing/2014/main" id="{00000000-0008-0000-0100-000011000000}"/>
            </a:ext>
          </a:extLst>
        </xdr:cNvPr>
        <xdr:cNvSpPr/>
      </xdr:nvSpPr>
      <xdr:spPr>
        <a:xfrm>
          <a:off x="9115424"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twoCellAnchor>
    <xdr:from>
      <xdr:col>7</xdr:col>
      <xdr:colOff>24775</xdr:colOff>
      <xdr:row>122</xdr:row>
      <xdr:rowOff>190501</xdr:rowOff>
    </xdr:from>
    <xdr:to>
      <xdr:col>24</xdr:col>
      <xdr:colOff>152399</xdr:colOff>
      <xdr:row>124</xdr:row>
      <xdr:rowOff>9525</xdr:rowOff>
    </xdr:to>
    <xdr:grpSp>
      <xdr:nvGrpSpPr>
        <xdr:cNvPr id="88" name="Group 87">
          <a:extLst>
            <a:ext uri="{FF2B5EF4-FFF2-40B4-BE49-F238E27FC236}">
              <a16:creationId xmlns:a16="http://schemas.microsoft.com/office/drawing/2014/main" id="{00000000-0008-0000-0100-000058000000}"/>
            </a:ext>
          </a:extLst>
        </xdr:cNvPr>
        <xdr:cNvGrpSpPr/>
      </xdr:nvGrpSpPr>
      <xdr:grpSpPr>
        <a:xfrm>
          <a:off x="24775" y="33708976"/>
          <a:ext cx="7452349" cy="361949"/>
          <a:chOff x="9296399" y="16259175"/>
          <a:chExt cx="7452359" cy="371473"/>
        </a:xfrm>
      </xdr:grpSpPr>
      <xdr:sp macro="" textlink="CONFIG_EFORM_DOC_ID_NAME">
        <xdr:nvSpPr>
          <xdr:cNvPr id="9" name="FOOTER_BG">
            <a:extLst>
              <a:ext uri="{FF2B5EF4-FFF2-40B4-BE49-F238E27FC236}">
                <a16:creationId xmlns:a16="http://schemas.microsoft.com/office/drawing/2014/main" id="{00000000-0008-0000-0100-000009000000}"/>
              </a:ext>
            </a:extLst>
          </xdr:cNvPr>
          <xdr:cNvSpPr/>
        </xdr:nvSpPr>
        <xdr:spPr>
          <a:xfrm>
            <a:off x="9296399" y="16259175"/>
            <a:ext cx="7452359" cy="371473"/>
          </a:xfrm>
          <a:prstGeom prst="rect">
            <a:avLst/>
          </a:prstGeom>
          <a:solidFill>
            <a:srgbClr val="00305E"/>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fld id="{318D66D7-35C3-43A5-9A89-905D240885C5}" type="TxLink">
              <a:rPr lang="en-US" sz="1000" b="1" i="0" u="none" strike="noStrike">
                <a:solidFill>
                  <a:schemeClr val="bg1"/>
                </a:solidFill>
                <a:latin typeface="+mn-lt"/>
                <a:ea typeface="+mn-ea"/>
                <a:cs typeface="Calibri"/>
              </a:rPr>
              <a:pPr marL="0" marR="0" indent="0" algn="r" defTabSz="914400" eaLnBrk="1" fontAlgn="auto" latinLnBrk="0" hangingPunct="1">
                <a:lnSpc>
                  <a:spcPct val="100000"/>
                </a:lnSpc>
                <a:spcBef>
                  <a:spcPts val="0"/>
                </a:spcBef>
                <a:spcAft>
                  <a:spcPts val="0"/>
                </a:spcAft>
                <a:buClrTx/>
                <a:buSzTx/>
                <a:buFontTx/>
                <a:buNone/>
                <a:tabLst/>
                <a:defRPr/>
              </a:pPr>
              <a:t>HDP-005: Homebuyer Dream Program Request Form</a:t>
            </a:fld>
            <a:endParaRPr lang="en-US" sz="1000" b="1">
              <a:solidFill>
                <a:schemeClr val="bg1"/>
              </a:solidFill>
              <a:latin typeface="+mn-lt"/>
            </a:endParaRPr>
          </a:p>
        </xdr:txBody>
      </xdr:sp>
      <xdr:sp macro="" textlink="">
        <xdr:nvSpPr>
          <xdr:cNvPr id="25" name="FOOTER_LINK_PAGETOP">
            <a:hlinkClick xmlns:r="http://schemas.openxmlformats.org/officeDocument/2006/relationships" r:id="rId6"/>
            <a:extLst>
              <a:ext uri="{FF2B5EF4-FFF2-40B4-BE49-F238E27FC236}">
                <a16:creationId xmlns:a16="http://schemas.microsoft.com/office/drawing/2014/main" id="{00000000-0008-0000-0100-000019000000}"/>
              </a:ext>
            </a:extLst>
          </xdr:cNvPr>
          <xdr:cNvSpPr/>
        </xdr:nvSpPr>
        <xdr:spPr>
          <a:xfrm>
            <a:off x="9296399" y="16259175"/>
            <a:ext cx="1126715" cy="3619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u="none">
                <a:solidFill>
                  <a:schemeClr val="bg1"/>
                </a:solidFill>
                <a:latin typeface="+mn-lt"/>
              </a:rPr>
              <a:t>^ Back to Top</a:t>
            </a:r>
          </a:p>
        </xdr:txBody>
      </xdr:sp>
    </xdr:grpSp>
    <xdr:clientData fPrintsWithSheet="0"/>
  </xdr:twoCellAnchor>
  <xdr:oneCellAnchor>
    <xdr:from>
      <xdr:col>12</xdr:col>
      <xdr:colOff>1076325</xdr:colOff>
      <xdr:row>12</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136017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148971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161925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65532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7</xdr:col>
      <xdr:colOff>66675</xdr:colOff>
      <xdr:row>19</xdr:row>
      <xdr:rowOff>180976</xdr:rowOff>
    </xdr:from>
    <xdr:to>
      <xdr:col>24</xdr:col>
      <xdr:colOff>104776</xdr:colOff>
      <xdr:row>24</xdr:row>
      <xdr:rowOff>123827</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66675" y="5248276"/>
          <a:ext cx="7362826" cy="1323976"/>
          <a:chOff x="8191500" y="5295900"/>
          <a:chExt cx="7362826" cy="1197883"/>
        </a:xfrm>
      </xdr:grpSpPr>
      <xdr:grpSp>
        <xdr:nvGrpSpPr>
          <xdr:cNvPr id="320" name="RENTAL_1">
            <a:extLst>
              <a:ext uri="{FF2B5EF4-FFF2-40B4-BE49-F238E27FC236}">
                <a16:creationId xmlns:a16="http://schemas.microsoft.com/office/drawing/2014/main" id="{00000000-0008-0000-0100-000040010000}"/>
              </a:ext>
            </a:extLst>
          </xdr:cNvPr>
          <xdr:cNvGrpSpPr/>
        </xdr:nvGrpSpPr>
        <xdr:grpSpPr>
          <a:xfrm>
            <a:off x="8191500" y="5295901"/>
            <a:ext cx="7362825" cy="1197882"/>
            <a:chOff x="8191500" y="4057651"/>
            <a:chExt cx="7362825" cy="1197882"/>
          </a:xfrm>
        </xdr:grpSpPr>
        <xdr:sp macro="" textlink="">
          <xdr:nvSpPr>
            <xdr:cNvPr id="41" name="RENTAL_1_SECTION_FRAME">
              <a:extLst>
                <a:ext uri="{FF2B5EF4-FFF2-40B4-BE49-F238E27FC236}">
                  <a16:creationId xmlns:a16="http://schemas.microsoft.com/office/drawing/2014/main" id="{00000000-0008-0000-0100-000029000000}"/>
                </a:ext>
              </a:extLst>
            </xdr:cNvPr>
            <xdr:cNvSpPr/>
          </xdr:nvSpPr>
          <xdr:spPr>
            <a:xfrm>
              <a:off x="8191500" y="4367099"/>
              <a:ext cx="7362825" cy="88843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8">
          <xdr:nvSpPr>
            <xdr:cNvPr id="42" name="RENTAL_1_SECTION_TITLE">
              <a:extLst>
                <a:ext uri="{FF2B5EF4-FFF2-40B4-BE49-F238E27FC236}">
                  <a16:creationId xmlns:a16="http://schemas.microsoft.com/office/drawing/2014/main" id="{00000000-0008-0000-0100-00002A000000}"/>
                </a:ext>
              </a:extLst>
            </xdr:cNvPr>
            <xdr:cNvSpPr/>
          </xdr:nvSpPr>
          <xdr:spPr>
            <a:xfrm>
              <a:off x="8191500" y="4057651"/>
              <a:ext cx="7360920" cy="311090"/>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41F85F06-3A35-4C2E-A513-A2CFAECED2A4}" type="TxLink">
                <a:rPr lang="en-US" sz="1100" b="1" i="0" u="none" strike="noStrike">
                  <a:solidFill>
                    <a:schemeClr val="bg1"/>
                  </a:solidFill>
                  <a:latin typeface="Calibri"/>
                </a:rPr>
                <a:pPr algn="l"/>
                <a:t>Federal Home Loan Bank of New York Member</a:t>
              </a:fld>
              <a:endParaRPr lang="en-US" sz="1100" b="1" i="0">
                <a:solidFill>
                  <a:schemeClr val="bg1"/>
                </a:solidFill>
              </a:endParaRPr>
            </a:p>
          </xdr:txBody>
        </xdr:sp>
        <xdr:sp macro="" textlink="$B$25">
          <xdr:nvSpPr>
            <xdr:cNvPr id="98" name="RENTAL_1_SECTION_SUBTITLE">
              <a:extLst>
                <a:ext uri="{FF2B5EF4-FFF2-40B4-BE49-F238E27FC236}">
                  <a16:creationId xmlns:a16="http://schemas.microsoft.com/office/drawing/2014/main" id="{00000000-0008-0000-0100-000062000000}"/>
                </a:ext>
              </a:extLst>
            </xdr:cNvPr>
            <xdr:cNvSpPr/>
          </xdr:nvSpPr>
          <xdr:spPr>
            <a:xfrm>
              <a:off x="8201025" y="4379110"/>
              <a:ext cx="7351776" cy="27432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CCDC5A28-C611-4D0B-B4D7-393A7AD37E0E}" type="TxLink">
                <a:rPr lang="en-US" sz="900" b="0" i="0" u="none" strike="noStrike">
                  <a:solidFill>
                    <a:srgbClr val="000000"/>
                  </a:solidFill>
                  <a:latin typeface="Calibri"/>
                </a:rPr>
                <a:pPr algn="l"/>
                <a:t>Not Started</a:t>
              </a:fld>
              <a:endParaRPr lang="en-US" sz="1100" i="0"/>
            </a:p>
          </xdr:txBody>
        </xdr:sp>
        <xdr:sp macro="" textlink="">
          <xdr:nvSpPr>
            <xdr:cNvPr id="99" name="RENTAL_1_SECTION_SUBTITLE_LABEL">
              <a:extLst>
                <a:ext uri="{FF2B5EF4-FFF2-40B4-BE49-F238E27FC236}">
                  <a16:creationId xmlns:a16="http://schemas.microsoft.com/office/drawing/2014/main" id="{00000000-0008-0000-0100-000063000000}"/>
                </a:ext>
              </a:extLst>
            </xdr:cNvPr>
            <xdr:cNvSpPr txBox="1"/>
          </xdr:nvSpPr>
          <xdr:spPr>
            <a:xfrm>
              <a:off x="8296277" y="4379110"/>
              <a:ext cx="476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44" name="LINK_RENTAL_TOC">
            <a:hlinkClick xmlns:r="http://schemas.openxmlformats.org/officeDocument/2006/relationships" r:id="rId6"/>
            <a:extLst>
              <a:ext uri="{FF2B5EF4-FFF2-40B4-BE49-F238E27FC236}">
                <a16:creationId xmlns:a16="http://schemas.microsoft.com/office/drawing/2014/main" id="{00000000-0008-0000-0100-00002C000000}"/>
              </a:ext>
            </a:extLst>
          </xdr:cNvPr>
          <xdr:cNvSpPr/>
        </xdr:nvSpPr>
        <xdr:spPr>
          <a:xfrm>
            <a:off x="14525626" y="5295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14</xdr:col>
      <xdr:colOff>3398</xdr:colOff>
      <xdr:row>0</xdr:row>
      <xdr:rowOff>71440</xdr:rowOff>
    </xdr:from>
    <xdr:to>
      <xdr:col>24</xdr:col>
      <xdr:colOff>98648</xdr:colOff>
      <xdr:row>0</xdr:row>
      <xdr:rowOff>295275</xdr:rowOff>
    </xdr:to>
    <xdr:sp macro="" textlink="$B$6">
      <xdr:nvSpPr>
        <xdr:cNvPr id="35" name="HEADER_BANNER_TITLE">
          <a:extLst>
            <a:ext uri="{FF2B5EF4-FFF2-40B4-BE49-F238E27FC236}">
              <a16:creationId xmlns:a16="http://schemas.microsoft.com/office/drawing/2014/main" id="{00000000-0008-0000-0100-000023000000}"/>
            </a:ext>
          </a:extLst>
        </xdr:cNvPr>
        <xdr:cNvSpPr txBox="1"/>
      </xdr:nvSpPr>
      <xdr:spPr>
        <a:xfrm>
          <a:off x="2851373" y="71440"/>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100" b="1" i="0" u="none" strike="noStrike">
              <a:solidFill>
                <a:sysClr val="windowText" lastClr="000000"/>
              </a:solidFill>
              <a:latin typeface="Calibri"/>
            </a:rPr>
            <a:pPr algn="r"/>
            <a:t>Homebuyer Dream Program® Request Form - 2023 Round</a:t>
          </a:fld>
          <a:endParaRPr lang="en-US" sz="1100" b="1" i="0">
            <a:solidFill>
              <a:sysClr val="windowText" lastClr="000000"/>
            </a:solidFill>
          </a:endParaRPr>
        </a:p>
      </xdr:txBody>
    </xdr:sp>
    <xdr:clientData/>
  </xdr:twoCellAnchor>
  <xdr:twoCellAnchor editAs="oneCell">
    <xdr:from>
      <xdr:col>7</xdr:col>
      <xdr:colOff>66675</xdr:colOff>
      <xdr:row>25</xdr:row>
      <xdr:rowOff>0</xdr:rowOff>
    </xdr:from>
    <xdr:to>
      <xdr:col>24</xdr:col>
      <xdr:colOff>104776</xdr:colOff>
      <xdr:row>43</xdr:row>
      <xdr:rowOff>95250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66675" y="6724650"/>
          <a:ext cx="7362826" cy="5067300"/>
          <a:chOff x="8191500" y="8343900"/>
          <a:chExt cx="7362826" cy="5067300"/>
        </a:xfrm>
      </xdr:grpSpPr>
      <xdr:grpSp>
        <xdr:nvGrpSpPr>
          <xdr:cNvPr id="110" name="RENTAL_2">
            <a:extLst>
              <a:ext uri="{FF2B5EF4-FFF2-40B4-BE49-F238E27FC236}">
                <a16:creationId xmlns:a16="http://schemas.microsoft.com/office/drawing/2014/main" id="{00000000-0008-0000-0100-00006E000000}"/>
              </a:ext>
            </a:extLst>
          </xdr:cNvPr>
          <xdr:cNvGrpSpPr/>
        </xdr:nvGrpSpPr>
        <xdr:grpSpPr>
          <a:xfrm>
            <a:off x="8191500" y="8343901"/>
            <a:ext cx="7362825" cy="5067299"/>
            <a:chOff x="9353550" y="7334730"/>
            <a:chExt cx="7362825" cy="4812963"/>
          </a:xfrm>
        </xdr:grpSpPr>
        <xdr:sp macro="" textlink="">
          <xdr:nvSpPr>
            <xdr:cNvPr id="75" name="RENTAL_2_SECTION_FRAME">
              <a:extLst>
                <a:ext uri="{FF2B5EF4-FFF2-40B4-BE49-F238E27FC236}">
                  <a16:creationId xmlns:a16="http://schemas.microsoft.com/office/drawing/2014/main" id="{00000000-0008-0000-0100-00004B000000}"/>
                </a:ext>
              </a:extLst>
            </xdr:cNvPr>
            <xdr:cNvSpPr/>
          </xdr:nvSpPr>
          <xdr:spPr>
            <a:xfrm>
              <a:off x="9353550" y="7632465"/>
              <a:ext cx="7362825" cy="451522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30">
          <xdr:nvSpPr>
            <xdr:cNvPr id="76" name="RENTAL_2_SECTION_TITLE">
              <a:extLst>
                <a:ext uri="{FF2B5EF4-FFF2-40B4-BE49-F238E27FC236}">
                  <a16:creationId xmlns:a16="http://schemas.microsoft.com/office/drawing/2014/main" id="{00000000-0008-0000-0100-00004C000000}"/>
                </a:ext>
              </a:extLst>
            </xdr:cNvPr>
            <xdr:cNvSpPr/>
          </xdr:nvSpPr>
          <xdr:spPr>
            <a:xfrm>
              <a:off x="9353550" y="7334730"/>
              <a:ext cx="7360920" cy="29166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7EBC575-AB48-40AE-B3DF-C45D66875040}" type="TxLink">
                <a:rPr lang="en-US" sz="1100" b="1" i="0" u="none" strike="noStrike">
                  <a:solidFill>
                    <a:schemeClr val="bg1"/>
                  </a:solidFill>
                  <a:latin typeface="Calibri"/>
                </a:rPr>
                <a:pPr algn="l"/>
                <a:t>Household Information</a:t>
              </a:fld>
              <a:endParaRPr lang="en-US" sz="1100" b="1" i="0">
                <a:solidFill>
                  <a:schemeClr val="bg1"/>
                </a:solidFill>
              </a:endParaRPr>
            </a:p>
          </xdr:txBody>
        </xdr:sp>
        <xdr:sp macro="" textlink="$B$58">
          <xdr:nvSpPr>
            <xdr:cNvPr id="95" name="RENTAL_2_SECTION_SUBTITLE">
              <a:extLst>
                <a:ext uri="{FF2B5EF4-FFF2-40B4-BE49-F238E27FC236}">
                  <a16:creationId xmlns:a16="http://schemas.microsoft.com/office/drawing/2014/main" id="{00000000-0008-0000-0100-00005F000000}"/>
                </a:ext>
              </a:extLst>
            </xdr:cNvPr>
            <xdr:cNvSpPr/>
          </xdr:nvSpPr>
          <xdr:spPr>
            <a:xfrm>
              <a:off x="9363075" y="7641569"/>
              <a:ext cx="7351776" cy="25735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105E12F8-653C-4DF9-8753-A54BD8A3A967}" type="TxLink">
                <a:rPr lang="en-US" sz="900" b="0" i="0" u="none" strike="noStrike">
                  <a:solidFill>
                    <a:srgbClr val="000000"/>
                  </a:solidFill>
                  <a:latin typeface="Calibri"/>
                </a:rPr>
                <a:pPr algn="l"/>
                <a:t>Not Started</a:t>
              </a:fld>
              <a:endParaRPr lang="en-US" sz="1100" i="0"/>
            </a:p>
          </xdr:txBody>
        </xdr:sp>
        <xdr:sp macro="" textlink="">
          <xdr:nvSpPr>
            <xdr:cNvPr id="96" name="RENTAL_2_SECTION_SUBTITLE_LABEL">
              <a:extLst>
                <a:ext uri="{FF2B5EF4-FFF2-40B4-BE49-F238E27FC236}">
                  <a16:creationId xmlns:a16="http://schemas.microsoft.com/office/drawing/2014/main" id="{00000000-0008-0000-0100-000060000000}"/>
                </a:ext>
              </a:extLst>
            </xdr:cNvPr>
            <xdr:cNvSpPr txBox="1"/>
          </xdr:nvSpPr>
          <xdr:spPr>
            <a:xfrm>
              <a:off x="9458327" y="7641569"/>
              <a:ext cx="476249" cy="257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77" name="LINK_RENTAL_TOC">
            <a:hlinkClick xmlns:r="http://schemas.openxmlformats.org/officeDocument/2006/relationships" r:id="rId6"/>
            <a:extLst>
              <a:ext uri="{FF2B5EF4-FFF2-40B4-BE49-F238E27FC236}">
                <a16:creationId xmlns:a16="http://schemas.microsoft.com/office/drawing/2014/main" id="{00000000-0008-0000-0100-00004D000000}"/>
              </a:ext>
            </a:extLst>
          </xdr:cNvPr>
          <xdr:cNvSpPr/>
        </xdr:nvSpPr>
        <xdr:spPr>
          <a:xfrm>
            <a:off x="14525626" y="8343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43</xdr:row>
      <xdr:rowOff>238126</xdr:rowOff>
    </xdr:from>
    <xdr:to>
      <xdr:col>24</xdr:col>
      <xdr:colOff>114300</xdr:colOff>
      <xdr:row>54</xdr:row>
      <xdr:rowOff>95252</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66675" y="11934826"/>
          <a:ext cx="7372350" cy="2895601"/>
          <a:chOff x="8191500" y="11668126"/>
          <a:chExt cx="7372350" cy="2895601"/>
        </a:xfrm>
      </xdr:grpSpPr>
      <xdr:grpSp>
        <xdr:nvGrpSpPr>
          <xdr:cNvPr id="111" name="RENTAL_3">
            <a:extLst>
              <a:ext uri="{FF2B5EF4-FFF2-40B4-BE49-F238E27FC236}">
                <a16:creationId xmlns:a16="http://schemas.microsoft.com/office/drawing/2014/main" id="{00000000-0008-0000-0100-00006F000000}"/>
              </a:ext>
            </a:extLst>
          </xdr:cNvPr>
          <xdr:cNvGrpSpPr/>
        </xdr:nvGrpSpPr>
        <xdr:grpSpPr>
          <a:xfrm>
            <a:off x="8191500" y="11668126"/>
            <a:ext cx="7362825" cy="2895601"/>
            <a:chOff x="9353550" y="10677527"/>
            <a:chExt cx="7362825" cy="2724977"/>
          </a:xfrm>
        </xdr:grpSpPr>
        <xdr:sp macro="" textlink="">
          <xdr:nvSpPr>
            <xdr:cNvPr id="48" name="RENTAL_3_SECTION_FRAME">
              <a:extLst>
                <a:ext uri="{FF2B5EF4-FFF2-40B4-BE49-F238E27FC236}">
                  <a16:creationId xmlns:a16="http://schemas.microsoft.com/office/drawing/2014/main" id="{00000000-0008-0000-0100-000030000000}"/>
                </a:ext>
              </a:extLst>
            </xdr:cNvPr>
            <xdr:cNvSpPr/>
          </xdr:nvSpPr>
          <xdr:spPr>
            <a:xfrm>
              <a:off x="9353550" y="10971290"/>
              <a:ext cx="7362825" cy="243121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64">
          <xdr:nvSpPr>
            <xdr:cNvPr id="55" name="RENTAL_3_SECTION_TITLE">
              <a:extLst>
                <a:ext uri="{FF2B5EF4-FFF2-40B4-BE49-F238E27FC236}">
                  <a16:creationId xmlns:a16="http://schemas.microsoft.com/office/drawing/2014/main" id="{00000000-0008-0000-0100-000037000000}"/>
                </a:ext>
              </a:extLst>
            </xdr:cNvPr>
            <xdr:cNvSpPr/>
          </xdr:nvSpPr>
          <xdr:spPr>
            <a:xfrm>
              <a:off x="9353550" y="10677527"/>
              <a:ext cx="7360920" cy="28988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E5F0481B-FAA3-4CC6-BC46-194342DDD317}" type="TxLink">
                <a:rPr lang="en-US" sz="1100" b="1" i="0" u="none" strike="noStrike">
                  <a:solidFill>
                    <a:schemeClr val="bg1"/>
                  </a:solidFill>
                  <a:latin typeface="Calibri"/>
                </a:rPr>
                <a:pPr algn="l"/>
                <a:t>Grant Summary</a:t>
              </a:fld>
              <a:endParaRPr lang="en-US" sz="1100" b="1" i="0" u="none" strike="noStrike">
                <a:solidFill>
                  <a:schemeClr val="bg1"/>
                </a:solidFill>
                <a:latin typeface="Calibri"/>
              </a:endParaRPr>
            </a:p>
          </xdr:txBody>
        </xdr:sp>
        <xdr:sp macro="" textlink="$B$74">
          <xdr:nvSpPr>
            <xdr:cNvPr id="92" name="RENTAL_3_SECTION_SUBTITLE">
              <a:extLst>
                <a:ext uri="{FF2B5EF4-FFF2-40B4-BE49-F238E27FC236}">
                  <a16:creationId xmlns:a16="http://schemas.microsoft.com/office/drawing/2014/main" id="{00000000-0008-0000-0100-00005C000000}"/>
                </a:ext>
              </a:extLst>
            </xdr:cNvPr>
            <xdr:cNvSpPr/>
          </xdr:nvSpPr>
          <xdr:spPr>
            <a:xfrm>
              <a:off x="9363075" y="10973444"/>
              <a:ext cx="7351776" cy="25578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AC7DE13B-4CF9-4B53-B058-CF26A2B7D8EE}" type="TxLink">
                <a:rPr lang="en-US" sz="900" b="0" i="0" u="none" strike="noStrike">
                  <a:solidFill>
                    <a:srgbClr val="000000"/>
                  </a:solidFill>
                  <a:latin typeface="Calibri"/>
                </a:rPr>
                <a:pPr algn="l"/>
                <a:t>Not Started</a:t>
              </a:fld>
              <a:endParaRPr lang="en-US" sz="1100" i="0"/>
            </a:p>
          </xdr:txBody>
        </xdr:sp>
        <xdr:sp macro="" textlink="">
          <xdr:nvSpPr>
            <xdr:cNvPr id="93" name="RENTAL_3_SECTION_SUBTITLE_LABEL">
              <a:extLst>
                <a:ext uri="{FF2B5EF4-FFF2-40B4-BE49-F238E27FC236}">
                  <a16:creationId xmlns:a16="http://schemas.microsoft.com/office/drawing/2014/main" id="{00000000-0008-0000-0100-00005D000000}"/>
                </a:ext>
              </a:extLst>
            </xdr:cNvPr>
            <xdr:cNvSpPr txBox="1"/>
          </xdr:nvSpPr>
          <xdr:spPr>
            <a:xfrm>
              <a:off x="9458327" y="10973444"/>
              <a:ext cx="476249" cy="25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57" name="LINK_RENTAL_TOC">
            <a:hlinkClick xmlns:r="http://schemas.openxmlformats.org/officeDocument/2006/relationships" r:id="rId6"/>
            <a:extLst>
              <a:ext uri="{FF2B5EF4-FFF2-40B4-BE49-F238E27FC236}">
                <a16:creationId xmlns:a16="http://schemas.microsoft.com/office/drawing/2014/main" id="{00000000-0008-0000-0100-000039000000}"/>
              </a:ext>
            </a:extLst>
          </xdr:cNvPr>
          <xdr:cNvSpPr/>
        </xdr:nvSpPr>
        <xdr:spPr>
          <a:xfrm>
            <a:off x="14535150" y="116776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54</xdr:row>
      <xdr:rowOff>228598</xdr:rowOff>
    </xdr:from>
    <xdr:to>
      <xdr:col>24</xdr:col>
      <xdr:colOff>104775</xdr:colOff>
      <xdr:row>65</xdr:row>
      <xdr:rowOff>85728</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66675" y="14963773"/>
          <a:ext cx="7362825" cy="2895605"/>
          <a:chOff x="8191500" y="14963771"/>
          <a:chExt cx="7362825" cy="2895605"/>
        </a:xfrm>
      </xdr:grpSpPr>
      <xdr:grpSp>
        <xdr:nvGrpSpPr>
          <xdr:cNvPr id="112" name="RENTAL_4">
            <a:extLst>
              <a:ext uri="{FF2B5EF4-FFF2-40B4-BE49-F238E27FC236}">
                <a16:creationId xmlns:a16="http://schemas.microsoft.com/office/drawing/2014/main" id="{00000000-0008-0000-0100-000070000000}"/>
              </a:ext>
            </a:extLst>
          </xdr:cNvPr>
          <xdr:cNvGrpSpPr/>
        </xdr:nvGrpSpPr>
        <xdr:grpSpPr>
          <a:xfrm>
            <a:off x="8191500" y="14963771"/>
            <a:ext cx="7362825" cy="2895605"/>
            <a:chOff x="9363075" y="13992996"/>
            <a:chExt cx="7362825" cy="2660388"/>
          </a:xfrm>
        </xdr:grpSpPr>
        <xdr:sp macro="" textlink="">
          <xdr:nvSpPr>
            <xdr:cNvPr id="86" name="RENTAL_4_SECTION_FRAME">
              <a:extLst>
                <a:ext uri="{FF2B5EF4-FFF2-40B4-BE49-F238E27FC236}">
                  <a16:creationId xmlns:a16="http://schemas.microsoft.com/office/drawing/2014/main" id="{00000000-0008-0000-0100-000056000000}"/>
                </a:ext>
              </a:extLst>
            </xdr:cNvPr>
            <xdr:cNvSpPr/>
          </xdr:nvSpPr>
          <xdr:spPr>
            <a:xfrm>
              <a:off x="9363075" y="14291730"/>
              <a:ext cx="7362825" cy="236165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79">
          <xdr:nvSpPr>
            <xdr:cNvPr id="87" name="RENTAL_4_SECTION_TITLE">
              <a:extLst>
                <a:ext uri="{FF2B5EF4-FFF2-40B4-BE49-F238E27FC236}">
                  <a16:creationId xmlns:a16="http://schemas.microsoft.com/office/drawing/2014/main" id="{00000000-0008-0000-0100-000057000000}"/>
                </a:ext>
              </a:extLst>
            </xdr:cNvPr>
            <xdr:cNvSpPr/>
          </xdr:nvSpPr>
          <xdr:spPr>
            <a:xfrm>
              <a:off x="9363075" y="13992996"/>
              <a:ext cx="7360920" cy="285641"/>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C87D710-882F-4EA8-810D-76AA4F2BFC65}" type="TxLink">
                <a:rPr lang="en-US" sz="1100" b="1" i="0" u="none" strike="noStrike">
                  <a:solidFill>
                    <a:schemeClr val="bg1"/>
                  </a:solidFill>
                  <a:latin typeface="Calibri"/>
                </a:rPr>
                <a:pPr algn="l"/>
                <a:t>Purchase Property</a:t>
              </a:fld>
              <a:endParaRPr lang="en-US" sz="1100" b="1" i="0" u="none" strike="noStrike">
                <a:solidFill>
                  <a:schemeClr val="bg1"/>
                </a:solidFill>
                <a:latin typeface="Calibri"/>
              </a:endParaRPr>
            </a:p>
          </xdr:txBody>
        </xdr:sp>
        <xdr:sp macro="" textlink="$B$97">
          <xdr:nvSpPr>
            <xdr:cNvPr id="83" name="RENTAL_4_SECTION_SUBTITLE">
              <a:extLst>
                <a:ext uri="{FF2B5EF4-FFF2-40B4-BE49-F238E27FC236}">
                  <a16:creationId xmlns:a16="http://schemas.microsoft.com/office/drawing/2014/main" id="{00000000-0008-0000-0100-000053000000}"/>
                </a:ext>
              </a:extLst>
            </xdr:cNvPr>
            <xdr:cNvSpPr/>
          </xdr:nvSpPr>
          <xdr:spPr>
            <a:xfrm>
              <a:off x="9372600" y="14297025"/>
              <a:ext cx="7351776" cy="252036"/>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224E38E-FD2B-4D43-9985-507D8E54C645}" type="TxLink">
                <a:rPr lang="en-US" sz="900" b="0" i="0" u="none" strike="noStrike">
                  <a:solidFill>
                    <a:srgbClr val="000000"/>
                  </a:solidFill>
                  <a:latin typeface="Calibri"/>
                </a:rPr>
                <a:pPr algn="l"/>
                <a:t>Not Started</a:t>
              </a:fld>
              <a:endParaRPr lang="en-US" sz="1100" i="0"/>
            </a:p>
          </xdr:txBody>
        </xdr:sp>
        <xdr:sp macro="" textlink="">
          <xdr:nvSpPr>
            <xdr:cNvPr id="84" name="RENTAL_4_SECTION_SUBTITLE_LABEL">
              <a:extLst>
                <a:ext uri="{FF2B5EF4-FFF2-40B4-BE49-F238E27FC236}">
                  <a16:creationId xmlns:a16="http://schemas.microsoft.com/office/drawing/2014/main" id="{00000000-0008-0000-0100-000054000000}"/>
                </a:ext>
              </a:extLst>
            </xdr:cNvPr>
            <xdr:cNvSpPr txBox="1"/>
          </xdr:nvSpPr>
          <xdr:spPr>
            <a:xfrm>
              <a:off x="9467852" y="14297025"/>
              <a:ext cx="476249" cy="25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89" name="LINK_RENTAL_TOC">
            <a:hlinkClick xmlns:r="http://schemas.openxmlformats.org/officeDocument/2006/relationships" r:id="rId6"/>
            <a:extLst>
              <a:ext uri="{FF2B5EF4-FFF2-40B4-BE49-F238E27FC236}">
                <a16:creationId xmlns:a16="http://schemas.microsoft.com/office/drawing/2014/main" id="{00000000-0008-0000-0100-000059000000}"/>
              </a:ext>
            </a:extLst>
          </xdr:cNvPr>
          <xdr:cNvSpPr/>
        </xdr:nvSpPr>
        <xdr:spPr>
          <a:xfrm>
            <a:off x="14525625" y="149733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65</xdr:row>
      <xdr:rowOff>247650</xdr:rowOff>
    </xdr:from>
    <xdr:to>
      <xdr:col>24</xdr:col>
      <xdr:colOff>104775</xdr:colOff>
      <xdr:row>89</xdr:row>
      <xdr:rowOff>76199</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66675" y="18021300"/>
          <a:ext cx="7362825" cy="6457949"/>
          <a:chOff x="8191500" y="18297525"/>
          <a:chExt cx="7362825" cy="6457949"/>
        </a:xfrm>
      </xdr:grpSpPr>
      <xdr:grpSp>
        <xdr:nvGrpSpPr>
          <xdr:cNvPr id="113" name="RENTAL_5">
            <a:extLst>
              <a:ext uri="{FF2B5EF4-FFF2-40B4-BE49-F238E27FC236}">
                <a16:creationId xmlns:a16="http://schemas.microsoft.com/office/drawing/2014/main" id="{00000000-0008-0000-0100-000071000000}"/>
              </a:ext>
            </a:extLst>
          </xdr:cNvPr>
          <xdr:cNvGrpSpPr/>
        </xdr:nvGrpSpPr>
        <xdr:grpSpPr>
          <a:xfrm>
            <a:off x="8191500" y="18297527"/>
            <a:ext cx="7362825" cy="6457947"/>
            <a:chOff x="9363075" y="17297252"/>
            <a:chExt cx="7362825" cy="6618702"/>
          </a:xfrm>
        </xdr:grpSpPr>
        <xdr:sp macro="" textlink="">
          <xdr:nvSpPr>
            <xdr:cNvPr id="59" name="RENTAL_5_SECTION_FRAME">
              <a:extLst>
                <a:ext uri="{FF2B5EF4-FFF2-40B4-BE49-F238E27FC236}">
                  <a16:creationId xmlns:a16="http://schemas.microsoft.com/office/drawing/2014/main" id="{00000000-0008-0000-0100-00003B000000}"/>
                </a:ext>
              </a:extLst>
            </xdr:cNvPr>
            <xdr:cNvSpPr/>
          </xdr:nvSpPr>
          <xdr:spPr>
            <a:xfrm>
              <a:off x="9363075" y="17617605"/>
              <a:ext cx="7362825" cy="629834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03">
          <xdr:nvSpPr>
            <xdr:cNvPr id="71" name="RENTAL_5_SECTION_TITLE">
              <a:extLst>
                <a:ext uri="{FF2B5EF4-FFF2-40B4-BE49-F238E27FC236}">
                  <a16:creationId xmlns:a16="http://schemas.microsoft.com/office/drawing/2014/main" id="{00000000-0008-0000-0100-000047000000}"/>
                </a:ext>
              </a:extLst>
            </xdr:cNvPr>
            <xdr:cNvSpPr/>
          </xdr:nvSpPr>
          <xdr:spPr>
            <a:xfrm>
              <a:off x="9363075" y="17297252"/>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EFEBC25B-7A00-49A1-B18C-0C8499BCDCC4}" type="TxLink">
                <a:rPr lang="en-US" sz="1100" b="1" i="0" u="none" strike="noStrike">
                  <a:solidFill>
                    <a:schemeClr val="bg1"/>
                  </a:solidFill>
                  <a:latin typeface="Calibri"/>
                </a:rPr>
                <a:pPr algn="l"/>
                <a:t>Household Qualification</a:t>
              </a:fld>
              <a:endParaRPr lang="en-US" sz="1100" b="1" i="0" u="none" strike="noStrike">
                <a:solidFill>
                  <a:schemeClr val="bg1"/>
                </a:solidFill>
                <a:latin typeface="Calibri"/>
              </a:endParaRPr>
            </a:p>
          </xdr:txBody>
        </xdr:sp>
        <xdr:sp macro="" textlink="$B$120">
          <xdr:nvSpPr>
            <xdr:cNvPr id="78" name="RENTAL_5_SECTION_SUBTITLE">
              <a:extLst>
                <a:ext uri="{FF2B5EF4-FFF2-40B4-BE49-F238E27FC236}">
                  <a16:creationId xmlns:a16="http://schemas.microsoft.com/office/drawing/2014/main" id="{00000000-0008-0000-0100-00004E000000}"/>
                </a:ext>
              </a:extLst>
            </xdr:cNvPr>
            <xdr:cNvSpPr/>
          </xdr:nvSpPr>
          <xdr:spPr>
            <a:xfrm>
              <a:off x="9372598" y="17621098"/>
              <a:ext cx="7351776" cy="27855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ADBC2A39-60A8-4CFF-858A-1F847464B22E}" type="TxLink">
                <a:rPr lang="en-US" sz="900" b="0" i="0" u="none" strike="noStrike">
                  <a:solidFill>
                    <a:srgbClr val="000000"/>
                  </a:solidFill>
                  <a:latin typeface="Calibri"/>
                </a:rPr>
                <a:pPr algn="l"/>
                <a:t>Not Started</a:t>
              </a:fld>
              <a:endParaRPr lang="en-US" sz="1100" i="0"/>
            </a:p>
          </xdr:txBody>
        </xdr:sp>
        <xdr:sp macro="" textlink="">
          <xdr:nvSpPr>
            <xdr:cNvPr id="80" name="RENTAL_5_SECTION_SUBTITLE_LABEL">
              <a:extLst>
                <a:ext uri="{FF2B5EF4-FFF2-40B4-BE49-F238E27FC236}">
                  <a16:creationId xmlns:a16="http://schemas.microsoft.com/office/drawing/2014/main" id="{00000000-0008-0000-0100-000050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72" name="LINK_RENTAL_TOC">
            <a:hlinkClick xmlns:r="http://schemas.openxmlformats.org/officeDocument/2006/relationships" r:id="rId6"/>
            <a:extLst>
              <a:ext uri="{FF2B5EF4-FFF2-40B4-BE49-F238E27FC236}">
                <a16:creationId xmlns:a16="http://schemas.microsoft.com/office/drawing/2014/main" id="{00000000-0008-0000-0100-000048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217" name="HEADER_BANNER_SUBTITLE">
          <a:extLst>
            <a:ext uri="{FF2B5EF4-FFF2-40B4-BE49-F238E27FC236}">
              <a16:creationId xmlns:a16="http://schemas.microsoft.com/office/drawing/2014/main" id="{00000000-0008-0000-0100-0000D9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800" b="1" i="0" u="none" strike="noStrike">
              <a:solidFill>
                <a:schemeClr val="bg1"/>
              </a:solidFill>
              <a:latin typeface="Calibri"/>
            </a:rPr>
            <a:pPr algn="ctr"/>
            <a:t>New Household Reservation Request</a:t>
          </a:fld>
          <a:endParaRPr lang="en-US" sz="800" b="1" i="0" u="none" strike="noStrike">
            <a:solidFill>
              <a:schemeClr val="bg1"/>
            </a:solidFill>
            <a:latin typeface="Calibri"/>
          </a:endParaRPr>
        </a:p>
      </xdr:txBody>
    </xdr:sp>
    <xdr:clientData/>
  </xdr:twoCellAnchor>
  <xdr:twoCellAnchor editAs="oneCell">
    <xdr:from>
      <xdr:col>7</xdr:col>
      <xdr:colOff>28574</xdr:colOff>
      <xdr:row>0</xdr:row>
      <xdr:rowOff>37735</xdr:rowOff>
    </xdr:from>
    <xdr:to>
      <xdr:col>10</xdr:col>
      <xdr:colOff>299467</xdr:colOff>
      <xdr:row>0</xdr:row>
      <xdr:rowOff>480458</xdr:rowOff>
    </xdr:to>
    <xdr:pic>
      <xdr:nvPicPr>
        <xdr:cNvPr id="218" name="FHLBNY_LOGO" descr="Medium.gif">
          <a:extLst>
            <a:ext uri="{FF2B5EF4-FFF2-40B4-BE49-F238E27FC236}">
              <a16:creationId xmlns:a16="http://schemas.microsoft.com/office/drawing/2014/main" id="{00000000-0008-0000-0100-0000DA000000}"/>
            </a:ext>
          </a:extLst>
        </xdr:cNvPr>
        <xdr:cNvPicPr>
          <a:picLocks noChangeAspect="1"/>
        </xdr:cNvPicPr>
      </xdr:nvPicPr>
      <xdr:blipFill>
        <a:blip xmlns:r="http://schemas.openxmlformats.org/officeDocument/2006/relationships" r:embed="rId7" cstate="print"/>
        <a:stretch>
          <a:fillRect/>
        </a:stretch>
      </xdr:blipFill>
      <xdr:spPr>
        <a:xfrm>
          <a:off x="28574" y="37735"/>
          <a:ext cx="1328168" cy="442723"/>
        </a:xfrm>
        <a:prstGeom prst="rect">
          <a:avLst/>
        </a:prstGeom>
      </xdr:spPr>
    </xdr:pic>
    <xdr:clientData/>
  </xdr:twoCellAnchor>
  <xdr:twoCellAnchor editAs="oneCell">
    <xdr:from>
      <xdr:col>18</xdr:col>
      <xdr:colOff>112423</xdr:colOff>
      <xdr:row>0</xdr:row>
      <xdr:rowOff>308208</xdr:rowOff>
    </xdr:from>
    <xdr:to>
      <xdr:col>24</xdr:col>
      <xdr:colOff>103922</xdr:colOff>
      <xdr:row>0</xdr:row>
      <xdr:rowOff>491088</xdr:rowOff>
    </xdr:to>
    <xdr:sp macro="" textlink="CONFIG_EFORM_DOC_ID_NAME">
      <xdr:nvSpPr>
        <xdr:cNvPr id="203" name="HEADER_BANNER_DOCID">
          <a:extLst>
            <a:ext uri="{FF2B5EF4-FFF2-40B4-BE49-F238E27FC236}">
              <a16:creationId xmlns:a16="http://schemas.microsoft.com/office/drawing/2014/main" id="{00000000-0008-0000-0100-0000CB000000}"/>
            </a:ext>
          </a:extLst>
        </xdr:cNvPr>
        <xdr:cNvSpPr txBox="1"/>
      </xdr:nvSpPr>
      <xdr:spPr>
        <a:xfrm>
          <a:off x="12875923" y="308208"/>
          <a:ext cx="2677549"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97113A79-CD90-47BB-BEF4-2FFEEDF102CE}" type="TxLink">
            <a:rPr lang="en-US" sz="800" b="0" i="0" u="none" strike="noStrike" baseline="0">
              <a:solidFill>
                <a:srgbClr val="000000"/>
              </a:solidFill>
              <a:latin typeface="Calibri"/>
              <a:cs typeface="Calibri"/>
            </a:rPr>
            <a:pPr algn="r"/>
            <a:t>HDP-005: Homebuyer Dream Program Request Form</a:t>
          </a:fld>
          <a:endParaRPr lang="en-US" sz="600" b="0" i="0" u="none" strike="noStrike">
            <a:solidFill>
              <a:sysClr val="windowText" lastClr="000000"/>
            </a:solidFill>
            <a:latin typeface="Calibri"/>
          </a:endParaRPr>
        </a:p>
      </xdr:txBody>
    </xdr:sp>
    <xdr:clientData/>
  </xdr:twoCellAnchor>
  <xdr:twoCellAnchor editAs="oneCell">
    <xdr:from>
      <xdr:col>7</xdr:col>
      <xdr:colOff>9526</xdr:colOff>
      <xdr:row>0</xdr:row>
      <xdr:rowOff>5420</xdr:rowOff>
    </xdr:from>
    <xdr:to>
      <xdr:col>25</xdr:col>
      <xdr:colOff>0</xdr:colOff>
      <xdr:row>4</xdr:row>
      <xdr:rowOff>908</xdr:rowOff>
    </xdr:to>
    <xdr:sp macro="" textlink="">
      <xdr:nvSpPr>
        <xdr:cNvPr id="309" name="HEADER_SHORTCUT_TOP">
          <a:hlinkClick xmlns:r="http://schemas.openxmlformats.org/officeDocument/2006/relationships" r:id="rId6" tooltip="Jump to Top"/>
          <a:extLst>
            <a:ext uri="{FF2B5EF4-FFF2-40B4-BE49-F238E27FC236}">
              <a16:creationId xmlns:a16="http://schemas.microsoft.com/office/drawing/2014/main" id="{00000000-0008-0000-0100-000035010000}"/>
            </a:ext>
          </a:extLst>
        </xdr:cNvPr>
        <xdr:cNvSpPr/>
      </xdr:nvSpPr>
      <xdr:spPr>
        <a:xfrm>
          <a:off x="8134351" y="5420"/>
          <a:ext cx="7477124" cy="77653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p>
      </xdr:txBody>
    </xdr:sp>
    <xdr:clientData fPrintsWithSheet="0"/>
  </xdr:twoCellAnchor>
  <xdr:twoCellAnchor editAs="oneCell">
    <xdr:from>
      <xdr:col>7</xdr:col>
      <xdr:colOff>66675</xdr:colOff>
      <xdr:row>13</xdr:row>
      <xdr:rowOff>228603</xdr:rowOff>
    </xdr:from>
    <xdr:to>
      <xdr:col>24</xdr:col>
      <xdr:colOff>104777</xdr:colOff>
      <xdr:row>19</xdr:row>
      <xdr:rowOff>0</xdr:rowOff>
    </xdr:to>
    <xdr:grpSp>
      <xdr:nvGrpSpPr>
        <xdr:cNvPr id="330" name="TABLE_OF_CONTENTS_RENTAL">
          <a:extLst>
            <a:ext uri="{FF2B5EF4-FFF2-40B4-BE49-F238E27FC236}">
              <a16:creationId xmlns:a16="http://schemas.microsoft.com/office/drawing/2014/main" id="{00000000-0008-0000-0100-00004A010000}"/>
            </a:ext>
          </a:extLst>
        </xdr:cNvPr>
        <xdr:cNvGrpSpPr/>
      </xdr:nvGrpSpPr>
      <xdr:grpSpPr>
        <a:xfrm>
          <a:off x="66675" y="3638553"/>
          <a:ext cx="7362827" cy="1428747"/>
          <a:chOff x="8191498" y="1276170"/>
          <a:chExt cx="7362827" cy="1414214"/>
        </a:xfrm>
      </xdr:grpSpPr>
      <xdr:grpSp>
        <xdr:nvGrpSpPr>
          <xdr:cNvPr id="323" name="RENTAL_TABLE_OF_CONTENTS">
            <a:extLst>
              <a:ext uri="{FF2B5EF4-FFF2-40B4-BE49-F238E27FC236}">
                <a16:creationId xmlns:a16="http://schemas.microsoft.com/office/drawing/2014/main" id="{00000000-0008-0000-0100-000043010000}"/>
              </a:ext>
            </a:extLst>
          </xdr:cNvPr>
          <xdr:cNvGrpSpPr/>
        </xdr:nvGrpSpPr>
        <xdr:grpSpPr>
          <a:xfrm>
            <a:off x="8191498" y="1276170"/>
            <a:ext cx="7362827" cy="1414214"/>
            <a:chOff x="8191498" y="1276170"/>
            <a:chExt cx="7362827" cy="1414214"/>
          </a:xfrm>
        </xdr:grpSpPr>
        <xdr:sp macro="" textlink="">
          <xdr:nvSpPr>
            <xdr:cNvPr id="50" name="TOC_HEADER_BG">
              <a:extLst>
                <a:ext uri="{FF2B5EF4-FFF2-40B4-BE49-F238E27FC236}">
                  <a16:creationId xmlns:a16="http://schemas.microsoft.com/office/drawing/2014/main" id="{00000000-0008-0000-0100-000032000000}"/>
                </a:ext>
              </a:extLst>
            </xdr:cNvPr>
            <xdr:cNvSpPr/>
          </xdr:nvSpPr>
          <xdr:spPr>
            <a:xfrm>
              <a:off x="8191498" y="159225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grpSp>
          <xdr:nvGrpSpPr>
            <xdr:cNvPr id="28" name="TOC">
              <a:extLst>
                <a:ext uri="{FF2B5EF4-FFF2-40B4-BE49-F238E27FC236}">
                  <a16:creationId xmlns:a16="http://schemas.microsoft.com/office/drawing/2014/main" id="{00000000-0008-0000-0100-00001C000000}"/>
                </a:ext>
              </a:extLst>
            </xdr:cNvPr>
            <xdr:cNvGrpSpPr/>
          </xdr:nvGrpSpPr>
          <xdr:grpSpPr>
            <a:xfrm>
              <a:off x="8191500" y="1276170"/>
              <a:ext cx="7362825" cy="1414214"/>
              <a:chOff x="9239250" y="1816952"/>
              <a:chExt cx="7362825" cy="1090370"/>
            </a:xfrm>
            <a:effectLst/>
          </xdr:grpSpPr>
          <xdr:sp macro="" textlink="">
            <xdr:nvSpPr>
              <xdr:cNvPr id="31" name="Rectangle 30">
                <a:extLst>
                  <a:ext uri="{FF2B5EF4-FFF2-40B4-BE49-F238E27FC236}">
                    <a16:creationId xmlns:a16="http://schemas.microsoft.com/office/drawing/2014/main" id="{00000000-0008-0000-0100-00001F000000}"/>
                  </a:ext>
                </a:extLst>
              </xdr:cNvPr>
              <xdr:cNvSpPr/>
            </xdr:nvSpPr>
            <xdr:spPr>
              <a:xfrm>
                <a:off x="9239250" y="2052093"/>
                <a:ext cx="7362825" cy="85522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45" name="Rectangle 44">
                <a:extLst>
                  <a:ext uri="{FF2B5EF4-FFF2-40B4-BE49-F238E27FC236}">
                    <a16:creationId xmlns:a16="http://schemas.microsoft.com/office/drawing/2014/main" id="{00000000-0008-0000-0100-00002D000000}"/>
                  </a:ext>
                </a:extLst>
              </xdr:cNvPr>
              <xdr:cNvSpPr/>
            </xdr:nvSpPr>
            <xdr:spPr>
              <a:xfrm>
                <a:off x="9239250" y="1816952"/>
                <a:ext cx="7360920" cy="23726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Table of Contents</a:t>
                </a:r>
              </a:p>
            </xdr:txBody>
          </xdr:sp>
        </xdr:grpSp>
        <xdr:sp macro="" textlink="">
          <xdr:nvSpPr>
            <xdr:cNvPr id="51" name="TOC_HEADER_LABEL_1">
              <a:extLst>
                <a:ext uri="{FF2B5EF4-FFF2-40B4-BE49-F238E27FC236}">
                  <a16:creationId xmlns:a16="http://schemas.microsoft.com/office/drawing/2014/main" id="{00000000-0008-0000-0100-000033000000}"/>
                </a:ext>
              </a:extLst>
            </xdr:cNvPr>
            <xdr:cNvSpPr txBox="1"/>
          </xdr:nvSpPr>
          <xdr:spPr>
            <a:xfrm>
              <a:off x="830202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52" name="TOC_HEADER_LABEL_1">
              <a:extLst>
                <a:ext uri="{FF2B5EF4-FFF2-40B4-BE49-F238E27FC236}">
                  <a16:creationId xmlns:a16="http://schemas.microsoft.com/office/drawing/2014/main" id="{00000000-0008-0000-0100-000034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sp macro="" textlink="">
          <xdr:nvSpPr>
            <xdr:cNvPr id="53" name="TOC_HEADER_LABEL_3">
              <a:extLst>
                <a:ext uri="{FF2B5EF4-FFF2-40B4-BE49-F238E27FC236}">
                  <a16:creationId xmlns:a16="http://schemas.microsoft.com/office/drawing/2014/main" id="{00000000-0008-0000-0100-000035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54" name="TOC_HEADER_LABEL_4">
              <a:extLst>
                <a:ext uri="{FF2B5EF4-FFF2-40B4-BE49-F238E27FC236}">
                  <a16:creationId xmlns:a16="http://schemas.microsoft.com/office/drawing/2014/main" id="{00000000-0008-0000-0100-000036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grpSp>
      <xdr:cxnSp macro="">
        <xdr:nvCxnSpPr>
          <xdr:cNvPr id="56" name="TOC_HEADER_VLINE">
            <a:extLst>
              <a:ext uri="{FF2B5EF4-FFF2-40B4-BE49-F238E27FC236}">
                <a16:creationId xmlns:a16="http://schemas.microsoft.com/office/drawing/2014/main" id="{00000000-0008-0000-0100-000038000000}"/>
              </a:ext>
            </a:extLst>
          </xdr:cNvPr>
          <xdr:cNvCxnSpPr>
            <a:endCxn id="31" idx="2"/>
          </xdr:cNvCxnSpPr>
        </xdr:nvCxnSpPr>
        <xdr:spPr>
          <a:xfrm>
            <a:off x="11871960" y="1596774"/>
            <a:ext cx="953" cy="1093609"/>
          </a:xfrm>
          <a:prstGeom prst="line">
            <a:avLst/>
          </a:prstGeom>
          <a:ln>
            <a:solidFill>
              <a:schemeClr val="bg1">
                <a:lumMod val="8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nvGrpSpPr>
          <xdr:cNvPr id="273" name="TOC_HORIZONTAL_DIVIDERS">
            <a:extLst>
              <a:ext uri="{FF2B5EF4-FFF2-40B4-BE49-F238E27FC236}">
                <a16:creationId xmlns:a16="http://schemas.microsoft.com/office/drawing/2014/main" id="{00000000-0008-0000-0100-000011010000}"/>
              </a:ext>
            </a:extLst>
          </xdr:cNvPr>
          <xdr:cNvGrpSpPr/>
        </xdr:nvGrpSpPr>
        <xdr:grpSpPr>
          <a:xfrm>
            <a:off x="8191498" y="2143319"/>
            <a:ext cx="7362825" cy="276504"/>
            <a:chOff x="8191498" y="2143319"/>
            <a:chExt cx="7362825" cy="276504"/>
          </a:xfrm>
        </xdr:grpSpPr>
        <xdr:cxnSp macro="">
          <xdr:nvCxnSpPr>
            <xdr:cNvPr id="207" name="DOTTED_LINE">
              <a:extLst>
                <a:ext uri="{FF2B5EF4-FFF2-40B4-BE49-F238E27FC236}">
                  <a16:creationId xmlns:a16="http://schemas.microsoft.com/office/drawing/2014/main" id="{00000000-0008-0000-0100-0000CF000000}"/>
                </a:ext>
              </a:extLst>
            </xdr:cNvPr>
            <xdr:cNvCxnSpPr/>
          </xdr:nvCxnSpPr>
          <xdr:spPr>
            <a:xfrm flipH="1">
              <a:off x="8191498" y="2143319"/>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39" name="DOTTED_LINE">
              <a:extLst>
                <a:ext uri="{FF2B5EF4-FFF2-40B4-BE49-F238E27FC236}">
                  <a16:creationId xmlns:a16="http://schemas.microsoft.com/office/drawing/2014/main" id="{00000000-0008-0000-0100-0000EF000000}"/>
                </a:ext>
              </a:extLst>
            </xdr:cNvPr>
            <xdr:cNvCxnSpPr/>
          </xdr:nvCxnSpPr>
          <xdr:spPr>
            <a:xfrm flipH="1">
              <a:off x="8191498" y="241982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14</xdr:col>
      <xdr:colOff>695325</xdr:colOff>
      <xdr:row>28</xdr:row>
      <xdr:rowOff>152400</xdr:rowOff>
    </xdr:from>
    <xdr:to>
      <xdr:col>21</xdr:col>
      <xdr:colOff>104775</xdr:colOff>
      <xdr:row>28</xdr:row>
      <xdr:rowOff>152400</xdr:rowOff>
    </xdr:to>
    <xdr:cxnSp macro="">
      <xdr:nvCxnSpPr>
        <xdr:cNvPr id="145" name="DOTTED_LINE">
          <a:extLst>
            <a:ext uri="{FF2B5EF4-FFF2-40B4-BE49-F238E27FC236}">
              <a16:creationId xmlns:a16="http://schemas.microsoft.com/office/drawing/2014/main" id="{00000000-0008-0000-0100-000091000000}"/>
            </a:ext>
          </a:extLst>
        </xdr:cNvPr>
        <xdr:cNvCxnSpPr/>
      </xdr:nvCxnSpPr>
      <xdr:spPr>
        <a:xfrm>
          <a:off x="11668125" y="10467975"/>
          <a:ext cx="2809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466725</xdr:colOff>
      <xdr:row>47</xdr:row>
      <xdr:rowOff>142875</xdr:rowOff>
    </xdr:from>
    <xdr:to>
      <xdr:col>19</xdr:col>
      <xdr:colOff>104775</xdr:colOff>
      <xdr:row>47</xdr:row>
      <xdr:rowOff>142875</xdr:rowOff>
    </xdr:to>
    <xdr:cxnSp macro="">
      <xdr:nvCxnSpPr>
        <xdr:cNvPr id="148" name="DOTTED_LINE">
          <a:extLst>
            <a:ext uri="{FF2B5EF4-FFF2-40B4-BE49-F238E27FC236}">
              <a16:creationId xmlns:a16="http://schemas.microsoft.com/office/drawing/2014/main" id="{00000000-0008-0000-0100-000094000000}"/>
            </a:ext>
          </a:extLst>
        </xdr:cNvPr>
        <xdr:cNvCxnSpPr/>
      </xdr:nvCxnSpPr>
      <xdr:spPr>
        <a:xfrm>
          <a:off x="11439525" y="15706725"/>
          <a:ext cx="2143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48</xdr:row>
      <xdr:rowOff>142875</xdr:rowOff>
    </xdr:from>
    <xdr:to>
      <xdr:col>19</xdr:col>
      <xdr:colOff>104775</xdr:colOff>
      <xdr:row>48</xdr:row>
      <xdr:rowOff>142875</xdr:rowOff>
    </xdr:to>
    <xdr:cxnSp macro="">
      <xdr:nvCxnSpPr>
        <xdr:cNvPr id="149" name="DOTTED_LINE">
          <a:extLst>
            <a:ext uri="{FF2B5EF4-FFF2-40B4-BE49-F238E27FC236}">
              <a16:creationId xmlns:a16="http://schemas.microsoft.com/office/drawing/2014/main" id="{00000000-0008-0000-0100-000095000000}"/>
            </a:ext>
          </a:extLst>
        </xdr:cNvPr>
        <xdr:cNvCxnSpPr/>
      </xdr:nvCxnSpPr>
      <xdr:spPr>
        <a:xfrm>
          <a:off x="11944350" y="15982950"/>
          <a:ext cx="1638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49</xdr:row>
      <xdr:rowOff>152400</xdr:rowOff>
    </xdr:from>
    <xdr:to>
      <xdr:col>19</xdr:col>
      <xdr:colOff>104775</xdr:colOff>
      <xdr:row>49</xdr:row>
      <xdr:rowOff>152400</xdr:rowOff>
    </xdr:to>
    <xdr:cxnSp macro="">
      <xdr:nvCxnSpPr>
        <xdr:cNvPr id="158" name="DOTTED_LINE">
          <a:extLst>
            <a:ext uri="{FF2B5EF4-FFF2-40B4-BE49-F238E27FC236}">
              <a16:creationId xmlns:a16="http://schemas.microsoft.com/office/drawing/2014/main" id="{00000000-0008-0000-0100-00009E000000}"/>
            </a:ext>
          </a:extLst>
        </xdr:cNvPr>
        <xdr:cNvCxnSpPr/>
      </xdr:nvCxnSpPr>
      <xdr:spPr>
        <a:xfrm>
          <a:off x="10220325" y="16268700"/>
          <a:ext cx="3362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52</xdr:row>
      <xdr:rowOff>152400</xdr:rowOff>
    </xdr:from>
    <xdr:to>
      <xdr:col>21</xdr:col>
      <xdr:colOff>104775</xdr:colOff>
      <xdr:row>52</xdr:row>
      <xdr:rowOff>152400</xdr:rowOff>
    </xdr:to>
    <xdr:cxnSp macro="">
      <xdr:nvCxnSpPr>
        <xdr:cNvPr id="164" name="DOTTED_LINE">
          <a:extLst>
            <a:ext uri="{FF2B5EF4-FFF2-40B4-BE49-F238E27FC236}">
              <a16:creationId xmlns:a16="http://schemas.microsoft.com/office/drawing/2014/main" id="{00000000-0008-0000-0100-0000A4000000}"/>
            </a:ext>
          </a:extLst>
        </xdr:cNvPr>
        <xdr:cNvCxnSpPr/>
      </xdr:nvCxnSpPr>
      <xdr:spPr>
        <a:xfrm>
          <a:off x="13515975" y="17926050"/>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419100</xdr:colOff>
      <xdr:row>78</xdr:row>
      <xdr:rowOff>95250</xdr:rowOff>
    </xdr:from>
    <xdr:to>
      <xdr:col>18</xdr:col>
      <xdr:colOff>485775</xdr:colOff>
      <xdr:row>79</xdr:row>
      <xdr:rowOff>171450</xdr:rowOff>
    </xdr:to>
    <xdr:sp macro="" textlink="">
      <xdr:nvSpPr>
        <xdr:cNvPr id="85" name="Rounded Rectangle 84">
          <a:hlinkClick xmlns:r="http://schemas.openxmlformats.org/officeDocument/2006/relationships" r:id="rId8"/>
          <a:extLst>
            <a:ext uri="{FF2B5EF4-FFF2-40B4-BE49-F238E27FC236}">
              <a16:creationId xmlns:a16="http://schemas.microsoft.com/office/drawing/2014/main" id="{00000000-0008-0000-0100-000055000000}"/>
            </a:ext>
          </a:extLst>
        </xdr:cNvPr>
        <xdr:cNvSpPr/>
      </xdr:nvSpPr>
      <xdr:spPr>
        <a:xfrm>
          <a:off x="2371725" y="23945850"/>
          <a:ext cx="2752725" cy="352425"/>
        </a:xfrm>
        <a:prstGeom prst="roundRect">
          <a:avLst/>
        </a:prstGeom>
        <a:gradFill>
          <a:gsLst>
            <a:gs pos="0">
              <a:srgbClr val="8EB149"/>
            </a:gs>
            <a:gs pos="100000">
              <a:srgbClr val="708B39"/>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Arial" panose="020B0604020202020204" pitchFamily="34" charset="0"/>
              <a:cs typeface="Arial" panose="020B0604020202020204" pitchFamily="34" charset="0"/>
            </a:rPr>
            <a:t>Open Income Calculation Worksheet </a:t>
          </a:r>
        </a:p>
      </xdr:txBody>
    </xdr:sp>
    <xdr:clientData/>
  </xdr:twoCellAnchor>
  <xdr:twoCellAnchor editAs="oneCell">
    <xdr:from>
      <xdr:col>7</xdr:col>
      <xdr:colOff>66675</xdr:colOff>
      <xdr:row>89</xdr:row>
      <xdr:rowOff>238125</xdr:rowOff>
    </xdr:from>
    <xdr:to>
      <xdr:col>24</xdr:col>
      <xdr:colOff>104775</xdr:colOff>
      <xdr:row>122</xdr:row>
      <xdr:rowOff>76199</xdr:rowOff>
    </xdr:to>
    <xdr:grpSp>
      <xdr:nvGrpSpPr>
        <xdr:cNvPr id="79" name="Group 78">
          <a:extLst>
            <a:ext uri="{FF2B5EF4-FFF2-40B4-BE49-F238E27FC236}">
              <a16:creationId xmlns:a16="http://schemas.microsoft.com/office/drawing/2014/main" id="{00000000-0008-0000-0100-00004F000000}"/>
            </a:ext>
          </a:extLst>
        </xdr:cNvPr>
        <xdr:cNvGrpSpPr/>
      </xdr:nvGrpSpPr>
      <xdr:grpSpPr>
        <a:xfrm>
          <a:off x="66675" y="24641175"/>
          <a:ext cx="7362825" cy="8953499"/>
          <a:chOff x="8191500" y="18297525"/>
          <a:chExt cx="7362825" cy="8953498"/>
        </a:xfrm>
      </xdr:grpSpPr>
      <xdr:grpSp>
        <xdr:nvGrpSpPr>
          <xdr:cNvPr id="81" name="RENTAL_5">
            <a:extLst>
              <a:ext uri="{FF2B5EF4-FFF2-40B4-BE49-F238E27FC236}">
                <a16:creationId xmlns:a16="http://schemas.microsoft.com/office/drawing/2014/main" id="{00000000-0008-0000-0100-000051000000}"/>
              </a:ext>
            </a:extLst>
          </xdr:cNvPr>
          <xdr:cNvGrpSpPr/>
        </xdr:nvGrpSpPr>
        <xdr:grpSpPr>
          <a:xfrm>
            <a:off x="8191500" y="18297526"/>
            <a:ext cx="7362825" cy="8953497"/>
            <a:chOff x="9363075" y="17297253"/>
            <a:chExt cx="7362825" cy="9176373"/>
          </a:xfrm>
        </xdr:grpSpPr>
        <xdr:sp macro="" textlink="">
          <xdr:nvSpPr>
            <xdr:cNvPr id="90" name="RENTAL_5_SECTION_FRAME">
              <a:extLst>
                <a:ext uri="{FF2B5EF4-FFF2-40B4-BE49-F238E27FC236}">
                  <a16:creationId xmlns:a16="http://schemas.microsoft.com/office/drawing/2014/main" id="{00000000-0008-0000-0100-00005A000000}"/>
                </a:ext>
              </a:extLst>
            </xdr:cNvPr>
            <xdr:cNvSpPr/>
          </xdr:nvSpPr>
          <xdr:spPr>
            <a:xfrm>
              <a:off x="9363075" y="17617605"/>
              <a:ext cx="7362825" cy="8856021"/>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26">
          <xdr:nvSpPr>
            <xdr:cNvPr id="91" name="RENTAL_5_SECTION_TITLE">
              <a:extLst>
                <a:ext uri="{FF2B5EF4-FFF2-40B4-BE49-F238E27FC236}">
                  <a16:creationId xmlns:a16="http://schemas.microsoft.com/office/drawing/2014/main" id="{00000000-0008-0000-0100-00005B000000}"/>
                </a:ext>
              </a:extLst>
            </xdr:cNvPr>
            <xdr:cNvSpPr/>
          </xdr:nvSpPr>
          <xdr:spPr>
            <a:xfrm>
              <a:off x="9363075" y="17297253"/>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D88E3CCE-11D7-4A89-B55B-0F85F8F00C5D}" type="TxLink">
                <a:rPr lang="en-US" sz="1100" b="1" i="0" u="none" strike="noStrike">
                  <a:solidFill>
                    <a:srgbClr val="FFFFFF"/>
                  </a:solidFill>
                  <a:latin typeface="Calibri"/>
                  <a:cs typeface="Calibri"/>
                </a:rPr>
                <a:pPr algn="l"/>
                <a:t>Member Certification</a:t>
              </a:fld>
              <a:endParaRPr lang="en-US" sz="1100" b="1" i="0" u="none" strike="noStrike">
                <a:solidFill>
                  <a:schemeClr val="bg1"/>
                </a:solidFill>
                <a:latin typeface="Calibri"/>
              </a:endParaRPr>
            </a:p>
          </xdr:txBody>
        </xdr:sp>
        <xdr:sp macro="" textlink="$B$137">
          <xdr:nvSpPr>
            <xdr:cNvPr id="94" name="RENTAL_5_SECTION_SUBTITLE">
              <a:extLst>
                <a:ext uri="{FF2B5EF4-FFF2-40B4-BE49-F238E27FC236}">
                  <a16:creationId xmlns:a16="http://schemas.microsoft.com/office/drawing/2014/main" id="{00000000-0008-0000-0100-00005E000000}"/>
                </a:ext>
              </a:extLst>
            </xdr:cNvPr>
            <xdr:cNvSpPr/>
          </xdr:nvSpPr>
          <xdr:spPr>
            <a:xfrm>
              <a:off x="9372598" y="17621099"/>
              <a:ext cx="7351776" cy="278552"/>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FB26CD53-0FF5-4F12-AFE7-DB5492936A6A}" type="TxLink">
                <a:rPr lang="en-US" sz="900" b="0" i="0" u="none" strike="noStrike">
                  <a:solidFill>
                    <a:srgbClr val="000000"/>
                  </a:solidFill>
                  <a:latin typeface="Calibri"/>
                  <a:cs typeface="Calibri"/>
                </a:rPr>
                <a:pPr algn="l"/>
                <a:t>Not Started</a:t>
              </a:fld>
              <a:endParaRPr lang="en-US" sz="1100" i="0"/>
            </a:p>
          </xdr:txBody>
        </xdr:sp>
        <xdr:sp macro="" textlink="">
          <xdr:nvSpPr>
            <xdr:cNvPr id="97" name="RENTAL_5_SECTION_SUBTITLE_LABEL">
              <a:extLst>
                <a:ext uri="{FF2B5EF4-FFF2-40B4-BE49-F238E27FC236}">
                  <a16:creationId xmlns:a16="http://schemas.microsoft.com/office/drawing/2014/main" id="{00000000-0008-0000-0100-000061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82" name="LINK_RENTAL_TOC">
            <a:hlinkClick xmlns:r="http://schemas.openxmlformats.org/officeDocument/2006/relationships" r:id="rId6"/>
            <a:extLst>
              <a:ext uri="{FF2B5EF4-FFF2-40B4-BE49-F238E27FC236}">
                <a16:creationId xmlns:a16="http://schemas.microsoft.com/office/drawing/2014/main" id="{00000000-0008-0000-0100-000052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oneCellAnchor>
    <xdr:from>
      <xdr:col>16</xdr:col>
      <xdr:colOff>295275</xdr:colOff>
      <xdr:row>18</xdr:row>
      <xdr:rowOff>9525</xdr:rowOff>
    </xdr:from>
    <xdr:ext cx="2200275" cy="264560"/>
    <xdr:sp macro="" textlink="$B$139">
      <xdr:nvSpPr>
        <xdr:cNvPr id="100" name="TOC_SECTION_10">
          <a:hlinkClick xmlns:r="http://schemas.openxmlformats.org/officeDocument/2006/relationships" r:id="rId9"/>
          <a:extLst>
            <a:ext uri="{FF2B5EF4-FFF2-40B4-BE49-F238E27FC236}">
              <a16:creationId xmlns:a16="http://schemas.microsoft.com/office/drawing/2014/main" id="{00000000-0008-0000-0100-000064000000}"/>
            </a:ext>
          </a:extLst>
        </xdr:cNvPr>
        <xdr:cNvSpPr txBox="1"/>
      </xdr:nvSpPr>
      <xdr:spPr>
        <a:xfrm>
          <a:off x="12163425"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6135BE1B-C9D2-4812-82E5-8EBB27621EE9}" type="TxLink">
            <a:rPr lang="en-US" sz="1000" b="1" i="0" u="sng" strike="noStrike">
              <a:solidFill>
                <a:schemeClr val="accent1">
                  <a:lumMod val="75000"/>
                </a:schemeClr>
              </a:solidFill>
              <a:latin typeface="Calibri"/>
              <a:ea typeface="+mn-ea"/>
              <a:cs typeface="Calibri"/>
            </a:rPr>
            <a:pPr marL="0" indent="0" algn="l"/>
            <a:t>Member Certification</a:t>
          </a:fld>
          <a:endParaRPr lang="en-US" sz="1000" b="1" i="0" u="sng" strike="noStrike">
            <a:solidFill>
              <a:schemeClr val="accent1">
                <a:lumMod val="75000"/>
              </a:schemeClr>
            </a:solidFill>
            <a:latin typeface="Calibri"/>
            <a:ea typeface="+mn-ea"/>
            <a:cs typeface="Calibri"/>
          </a:endParaRPr>
        </a:p>
      </xdr:txBody>
    </xdr:sp>
    <xdr:clientData fPrintsWithSheet="0"/>
  </xdr:oneCellAnchor>
  <xdr:twoCellAnchor>
    <xdr:from>
      <xdr:col>8</xdr:col>
      <xdr:colOff>19050</xdr:colOff>
      <xdr:row>87</xdr:row>
      <xdr:rowOff>123825</xdr:rowOff>
    </xdr:from>
    <xdr:to>
      <xdr:col>11</xdr:col>
      <xdr:colOff>19050</xdr:colOff>
      <xdr:row>88</xdr:row>
      <xdr:rowOff>200025</xdr:rowOff>
    </xdr:to>
    <xdr:sp macro="" textlink="">
      <xdr:nvSpPr>
        <xdr:cNvPr id="2" name="Rounded Rectangle 84">
          <a:hlinkClick xmlns:r="http://schemas.openxmlformats.org/officeDocument/2006/relationships" r:id="rId10"/>
          <a:extLst>
            <a:ext uri="{FF2B5EF4-FFF2-40B4-BE49-F238E27FC236}">
              <a16:creationId xmlns:a16="http://schemas.microsoft.com/office/drawing/2014/main" id="{00000000-0008-0000-0100-000002000000}"/>
            </a:ext>
          </a:extLst>
        </xdr:cNvPr>
        <xdr:cNvSpPr/>
      </xdr:nvSpPr>
      <xdr:spPr>
        <a:xfrm>
          <a:off x="180975" y="23974425"/>
          <a:ext cx="1609725" cy="352425"/>
        </a:xfrm>
        <a:prstGeom prst="roundRect">
          <a:avLst/>
        </a:prstGeom>
        <a:gradFill>
          <a:gsLst>
            <a:gs pos="0">
              <a:srgbClr val="8EB149"/>
            </a:gs>
            <a:gs pos="100000">
              <a:srgbClr val="708B39"/>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Arial" panose="020B0604020202020204" pitchFamily="34" charset="0"/>
              <a:cs typeface="Arial" panose="020B0604020202020204" pitchFamily="34" charset="0"/>
            </a:rPr>
            <a:t>New Jersey</a:t>
          </a:r>
        </a:p>
      </xdr:txBody>
    </xdr:sp>
    <xdr:clientData/>
  </xdr:twoCellAnchor>
  <xdr:twoCellAnchor>
    <xdr:from>
      <xdr:col>12</xdr:col>
      <xdr:colOff>76200</xdr:colOff>
      <xdr:row>87</xdr:row>
      <xdr:rowOff>123825</xdr:rowOff>
    </xdr:from>
    <xdr:to>
      <xdr:col>15</xdr:col>
      <xdr:colOff>76200</xdr:colOff>
      <xdr:row>88</xdr:row>
      <xdr:rowOff>200025</xdr:rowOff>
    </xdr:to>
    <xdr:sp macro="" textlink="">
      <xdr:nvSpPr>
        <xdr:cNvPr id="8" name="Rounded Rectangle 84">
          <a:hlinkClick xmlns:r="http://schemas.openxmlformats.org/officeDocument/2006/relationships" r:id="rId11"/>
          <a:extLst>
            <a:ext uri="{FF2B5EF4-FFF2-40B4-BE49-F238E27FC236}">
              <a16:creationId xmlns:a16="http://schemas.microsoft.com/office/drawing/2014/main" id="{00000000-0008-0000-0100-000008000000}"/>
            </a:ext>
          </a:extLst>
        </xdr:cNvPr>
        <xdr:cNvSpPr/>
      </xdr:nvSpPr>
      <xdr:spPr>
        <a:xfrm>
          <a:off x="2028825" y="23974425"/>
          <a:ext cx="1609725" cy="352425"/>
        </a:xfrm>
        <a:prstGeom prst="roundRect">
          <a:avLst/>
        </a:prstGeom>
        <a:gradFill>
          <a:gsLst>
            <a:gs pos="0">
              <a:srgbClr val="8EB149"/>
            </a:gs>
            <a:gs pos="100000">
              <a:srgbClr val="708B39"/>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Arial" panose="020B0604020202020204" pitchFamily="34" charset="0"/>
              <a:cs typeface="Arial" panose="020B0604020202020204" pitchFamily="34" charset="0"/>
            </a:rPr>
            <a:t>New York</a:t>
          </a:r>
        </a:p>
      </xdr:txBody>
    </xdr:sp>
    <xdr:clientData/>
  </xdr:twoCellAnchor>
  <xdr:twoCellAnchor>
    <xdr:from>
      <xdr:col>16</xdr:col>
      <xdr:colOff>142875</xdr:colOff>
      <xdr:row>87</xdr:row>
      <xdr:rowOff>123825</xdr:rowOff>
    </xdr:from>
    <xdr:to>
      <xdr:col>19</xdr:col>
      <xdr:colOff>142875</xdr:colOff>
      <xdr:row>88</xdr:row>
      <xdr:rowOff>200025</xdr:rowOff>
    </xdr:to>
    <xdr:sp macro="" textlink="">
      <xdr:nvSpPr>
        <xdr:cNvPr id="10" name="Rounded Rectangle 84">
          <a:hlinkClick xmlns:r="http://schemas.openxmlformats.org/officeDocument/2006/relationships" r:id="rId12"/>
          <a:extLst>
            <a:ext uri="{FF2B5EF4-FFF2-40B4-BE49-F238E27FC236}">
              <a16:creationId xmlns:a16="http://schemas.microsoft.com/office/drawing/2014/main" id="{00000000-0008-0000-0100-00000A000000}"/>
            </a:ext>
          </a:extLst>
        </xdr:cNvPr>
        <xdr:cNvSpPr/>
      </xdr:nvSpPr>
      <xdr:spPr>
        <a:xfrm>
          <a:off x="3886200" y="23974425"/>
          <a:ext cx="1609725" cy="352425"/>
        </a:xfrm>
        <a:prstGeom prst="roundRect">
          <a:avLst/>
        </a:prstGeom>
        <a:gradFill>
          <a:gsLst>
            <a:gs pos="0">
              <a:srgbClr val="8EB149"/>
            </a:gs>
            <a:gs pos="100000">
              <a:srgbClr val="708B39"/>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Arial" panose="020B0604020202020204" pitchFamily="34" charset="0"/>
              <a:cs typeface="Arial" panose="020B0604020202020204" pitchFamily="34" charset="0"/>
            </a:rPr>
            <a:t>Puerto Rico</a:t>
          </a:r>
        </a:p>
      </xdr:txBody>
    </xdr:sp>
    <xdr:clientData/>
  </xdr:twoCellAnchor>
  <xdr:twoCellAnchor>
    <xdr:from>
      <xdr:col>20</xdr:col>
      <xdr:colOff>161925</xdr:colOff>
      <xdr:row>87</xdr:row>
      <xdr:rowOff>123825</xdr:rowOff>
    </xdr:from>
    <xdr:to>
      <xdr:col>23</xdr:col>
      <xdr:colOff>161925</xdr:colOff>
      <xdr:row>88</xdr:row>
      <xdr:rowOff>200025</xdr:rowOff>
    </xdr:to>
    <xdr:sp macro="" textlink="">
      <xdr:nvSpPr>
        <xdr:cNvPr id="11" name="Rounded Rectangle 84">
          <a:hlinkClick xmlns:r="http://schemas.openxmlformats.org/officeDocument/2006/relationships" r:id="rId13"/>
          <a:extLst>
            <a:ext uri="{FF2B5EF4-FFF2-40B4-BE49-F238E27FC236}">
              <a16:creationId xmlns:a16="http://schemas.microsoft.com/office/drawing/2014/main" id="{00000000-0008-0000-0100-00000B000000}"/>
            </a:ext>
          </a:extLst>
        </xdr:cNvPr>
        <xdr:cNvSpPr/>
      </xdr:nvSpPr>
      <xdr:spPr>
        <a:xfrm>
          <a:off x="5695950" y="23974425"/>
          <a:ext cx="1609725" cy="352425"/>
        </a:xfrm>
        <a:prstGeom prst="roundRect">
          <a:avLst/>
        </a:prstGeom>
        <a:gradFill>
          <a:gsLst>
            <a:gs pos="0">
              <a:srgbClr val="8EB149"/>
            </a:gs>
            <a:gs pos="100000">
              <a:srgbClr val="708B39"/>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Arial" panose="020B0604020202020204" pitchFamily="34" charset="0"/>
              <a:cs typeface="Arial" panose="020B0604020202020204" pitchFamily="34" charset="0"/>
            </a:rPr>
            <a:t>US Virgin Islands</a:t>
          </a:r>
        </a:p>
      </xdr:txBody>
    </xdr:sp>
    <xdr:clientData/>
  </xdr:twoCellAnchor>
  <mc:AlternateContent xmlns:mc="http://schemas.openxmlformats.org/markup-compatibility/2006">
    <mc:Choice xmlns:a14="http://schemas.microsoft.com/office/drawing/2010/main" Requires="a14">
      <xdr:twoCellAnchor editAs="oneCell">
        <xdr:from>
          <xdr:col>12</xdr:col>
          <xdr:colOff>190500</xdr:colOff>
          <xdr:row>81</xdr:row>
          <xdr:rowOff>19050</xdr:rowOff>
        </xdr:from>
        <xdr:to>
          <xdr:col>18</xdr:col>
          <xdr:colOff>552450</xdr:colOff>
          <xdr:row>81</xdr:row>
          <xdr:rowOff>266700</xdr:rowOff>
        </xdr:to>
        <xdr:sp macro="" textlink="">
          <xdr:nvSpPr>
            <xdr:cNvPr id="10252" name="ICW_COMPLETE_FLAG"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Income Calculation Worksheet has been fully completed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16</xdr:col>
      <xdr:colOff>295275</xdr:colOff>
      <xdr:row>17</xdr:row>
      <xdr:rowOff>9525</xdr:rowOff>
    </xdr:from>
    <xdr:ext cx="2200275" cy="264560"/>
    <xdr:sp macro="" textlink="$B$110">
      <xdr:nvSpPr>
        <xdr:cNvPr id="2" name="TOC_SECTION_10">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4038600"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BFAA168D-172E-4430-9045-F99273F30A4A}" type="TxLink">
            <a:rPr lang="en-US" sz="1000" b="1" i="0" u="sng" strike="noStrike">
              <a:solidFill>
                <a:schemeClr val="accent1">
                  <a:lumMod val="75000"/>
                </a:schemeClr>
              </a:solidFill>
              <a:latin typeface="Calibri"/>
              <a:cs typeface="Calibri"/>
            </a:rPr>
            <a:pPr algn="l"/>
            <a:t>Other Grants</a:t>
          </a:fld>
          <a:endParaRPr lang="en-US" sz="1000" b="1" i="0" u="sng">
            <a:solidFill>
              <a:schemeClr val="accent1">
                <a:lumMod val="75000"/>
              </a:schemeClr>
            </a:solidFill>
          </a:endParaRPr>
        </a:p>
      </xdr:txBody>
    </xdr:sp>
    <xdr:clientData fPrintsWithSheet="0"/>
  </xdr:oneCellAnchor>
  <xdr:oneCellAnchor>
    <xdr:from>
      <xdr:col>8</xdr:col>
      <xdr:colOff>200024</xdr:colOff>
      <xdr:row>16</xdr:row>
      <xdr:rowOff>9525</xdr:rowOff>
    </xdr:from>
    <xdr:ext cx="2295525" cy="264560"/>
    <xdr:sp macro="" textlink="$B$28">
      <xdr:nvSpPr>
        <xdr:cNvPr id="3" name="TOC_SECTION_1">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361949" y="42481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B912DCB3-33D0-4DE5-9CF9-E2B978CDACDE}" type="TxLink">
            <a:rPr lang="en-US" sz="1000" b="1" i="0" u="sng" strike="noStrike">
              <a:solidFill>
                <a:schemeClr val="accent1">
                  <a:lumMod val="75000"/>
                </a:schemeClr>
              </a:solidFill>
              <a:latin typeface="Calibri"/>
              <a:ea typeface="+mn-ea"/>
              <a:cs typeface="Calibri"/>
            </a:rPr>
            <a:pPr marL="0" indent="0" algn="l"/>
            <a:t>FHLBNY Member</a:t>
          </a:fld>
          <a:endParaRPr lang="en-US" sz="1000" b="1" i="0" u="sng" strike="noStrike">
            <a:solidFill>
              <a:schemeClr val="accent1">
                <a:lumMod val="75000"/>
              </a:schemeClr>
            </a:solidFill>
            <a:latin typeface="Calibri"/>
            <a:ea typeface="+mn-ea"/>
            <a:cs typeface="Calibri"/>
          </a:endParaRPr>
        </a:p>
      </xdr:txBody>
    </xdr:sp>
    <xdr:clientData fPrintsWithSheet="0"/>
  </xdr:oneCellAnchor>
  <xdr:oneCellAnchor>
    <xdr:from>
      <xdr:col>8</xdr:col>
      <xdr:colOff>200024</xdr:colOff>
      <xdr:row>17</xdr:row>
      <xdr:rowOff>9525</xdr:rowOff>
    </xdr:from>
    <xdr:ext cx="2295525" cy="264560"/>
    <xdr:sp macro="" textlink="$B$42">
      <xdr:nvSpPr>
        <xdr:cNvPr id="4" name="TOC_SECTION_2">
          <a:hlinkClick xmlns:r="http://schemas.openxmlformats.org/officeDocument/2006/relationships" r:id="rId3"/>
          <a:extLst>
            <a:ext uri="{FF2B5EF4-FFF2-40B4-BE49-F238E27FC236}">
              <a16:creationId xmlns:a16="http://schemas.microsoft.com/office/drawing/2014/main" id="{00000000-0008-0000-0200-000004000000}"/>
            </a:ext>
          </a:extLst>
        </xdr:cNvPr>
        <xdr:cNvSpPr txBox="1"/>
      </xdr:nvSpPr>
      <xdr:spPr>
        <a:xfrm>
          <a:off x="361949" y="45243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60896E56-02AF-450F-83A0-DE79B7AE6E83}" type="TxLink">
            <a:rPr lang="en-US" sz="1000" b="1" i="0" u="sng" strike="noStrike">
              <a:solidFill>
                <a:schemeClr val="accent1">
                  <a:lumMod val="75000"/>
                </a:schemeClr>
              </a:solidFill>
              <a:latin typeface="Calibri"/>
              <a:ea typeface="+mn-ea"/>
              <a:cs typeface="Calibri"/>
            </a:rPr>
            <a:pPr marL="0" indent="0" algn="l"/>
            <a:t>Household Information</a:t>
          </a:fld>
          <a:endParaRPr lang="en-US" sz="1000" b="1" i="0" u="sng" strike="noStrike">
            <a:solidFill>
              <a:schemeClr val="accent1">
                <a:lumMod val="75000"/>
              </a:schemeClr>
            </a:solidFill>
            <a:latin typeface="Calibri"/>
            <a:ea typeface="+mn-ea"/>
            <a:cs typeface="Calibri"/>
          </a:endParaRPr>
        </a:p>
      </xdr:txBody>
    </xdr:sp>
    <xdr:clientData fPrintsWithSheet="0"/>
  </xdr:oneCellAnchor>
  <xdr:oneCellAnchor>
    <xdr:from>
      <xdr:col>8</xdr:col>
      <xdr:colOff>200024</xdr:colOff>
      <xdr:row>18</xdr:row>
      <xdr:rowOff>9525</xdr:rowOff>
    </xdr:from>
    <xdr:ext cx="2295525" cy="264560"/>
    <xdr:sp macro="" textlink="$B$57">
      <xdr:nvSpPr>
        <xdr:cNvPr id="5" name="TOC_SECTION_3">
          <a:hlinkClick xmlns:r="http://schemas.openxmlformats.org/officeDocument/2006/relationships" r:id="rId4"/>
          <a:extLst>
            <a:ext uri="{FF2B5EF4-FFF2-40B4-BE49-F238E27FC236}">
              <a16:creationId xmlns:a16="http://schemas.microsoft.com/office/drawing/2014/main" id="{00000000-0008-0000-0200-000005000000}"/>
            </a:ext>
          </a:extLst>
        </xdr:cNvPr>
        <xdr:cNvSpPr txBox="1"/>
      </xdr:nvSpPr>
      <xdr:spPr>
        <a:xfrm>
          <a:off x="361949" y="480060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F3897FBB-DF3B-4B73-902D-D31EFF95B025}" type="TxLink">
            <a:rPr lang="en-US" sz="1000" b="1" i="0" u="sng" strike="noStrike">
              <a:solidFill>
                <a:schemeClr val="accent1">
                  <a:lumMod val="75000"/>
                </a:schemeClr>
              </a:solidFill>
              <a:latin typeface="Calibri"/>
              <a:cs typeface="Calibri"/>
            </a:rPr>
            <a:pPr algn="l"/>
            <a:t>Grant Summary</a:t>
          </a:fld>
          <a:endParaRPr lang="en-US" sz="1000" b="1" i="0" u="sng">
            <a:solidFill>
              <a:schemeClr val="accent1">
                <a:lumMod val="75000"/>
              </a:schemeClr>
            </a:solidFill>
          </a:endParaRPr>
        </a:p>
      </xdr:txBody>
    </xdr:sp>
    <xdr:clientData fPrintsWithSheet="0"/>
  </xdr:oneCellAnchor>
  <xdr:oneCellAnchor>
    <xdr:from>
      <xdr:col>16</xdr:col>
      <xdr:colOff>295275</xdr:colOff>
      <xdr:row>16</xdr:row>
      <xdr:rowOff>9525</xdr:rowOff>
    </xdr:from>
    <xdr:ext cx="2200275" cy="264560"/>
    <xdr:sp macro="" textlink="$B$83">
      <xdr:nvSpPr>
        <xdr:cNvPr id="6" name="TOC_SECTION_9">
          <a:hlinkClick xmlns:r="http://schemas.openxmlformats.org/officeDocument/2006/relationships" r:id="rId5"/>
          <a:extLst>
            <a:ext uri="{FF2B5EF4-FFF2-40B4-BE49-F238E27FC236}">
              <a16:creationId xmlns:a16="http://schemas.microsoft.com/office/drawing/2014/main" id="{00000000-0008-0000-0200-000006000000}"/>
            </a:ext>
          </a:extLst>
        </xdr:cNvPr>
        <xdr:cNvSpPr txBox="1"/>
      </xdr:nvSpPr>
      <xdr:spPr>
        <a:xfrm>
          <a:off x="4038600" y="4248150"/>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177A4A5A-073A-414A-AACE-C550FFAA6913}" type="TxLink">
            <a:rPr lang="en-US" sz="1000" b="1" i="0" u="sng" strike="noStrike">
              <a:solidFill>
                <a:schemeClr val="accent1">
                  <a:lumMod val="75000"/>
                </a:schemeClr>
              </a:solidFill>
              <a:latin typeface="Calibri"/>
              <a:cs typeface="Calibri"/>
            </a:rPr>
            <a:pPr algn="l"/>
            <a:t>Mortgage Information</a:t>
          </a:fld>
          <a:endParaRPr lang="en-US" sz="1000" b="1" i="0" u="sng">
            <a:solidFill>
              <a:schemeClr val="accent1">
                <a:lumMod val="75000"/>
              </a:schemeClr>
            </a:solidFill>
          </a:endParaRPr>
        </a:p>
      </xdr:txBody>
    </xdr:sp>
    <xdr:clientData fPrintsWithSheet="0"/>
  </xdr:oneCellAnchor>
  <xdr:twoCellAnchor editAs="absolute">
    <xdr:from>
      <xdr:col>16384</xdr:col>
      <xdr:colOff>613928</xdr:colOff>
      <xdr:row>13</xdr:row>
      <xdr:rowOff>180975</xdr:rowOff>
    </xdr:from>
    <xdr:to>
      <xdr:col>16384</xdr:col>
      <xdr:colOff>613928</xdr:colOff>
      <xdr:row>15</xdr:row>
      <xdr:rowOff>228600</xdr:rowOff>
    </xdr:to>
    <xdr:sp macro="" textlink="">
      <xdr:nvSpPr>
        <xdr:cNvPr id="7" name="COVER_CELLS_01">
          <a:extLst>
            <a:ext uri="{FF2B5EF4-FFF2-40B4-BE49-F238E27FC236}">
              <a16:creationId xmlns:a16="http://schemas.microsoft.com/office/drawing/2014/main" id="{00000000-0008-0000-0200-000007000000}"/>
            </a:ext>
          </a:extLst>
        </xdr:cNvPr>
        <xdr:cNvSpPr/>
      </xdr:nvSpPr>
      <xdr:spPr>
        <a:xfrm>
          <a:off x="8100578"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twoCellAnchor>
    <xdr:from>
      <xdr:col>7</xdr:col>
      <xdr:colOff>24775</xdr:colOff>
      <xdr:row>119</xdr:row>
      <xdr:rowOff>161926</xdr:rowOff>
    </xdr:from>
    <xdr:to>
      <xdr:col>24</xdr:col>
      <xdr:colOff>152399</xdr:colOff>
      <xdr:row>120</xdr:row>
      <xdr:rowOff>247650</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24775" y="32851726"/>
          <a:ext cx="7452349" cy="361949"/>
          <a:chOff x="9296399" y="16259175"/>
          <a:chExt cx="7452359" cy="371473"/>
        </a:xfrm>
      </xdr:grpSpPr>
      <xdr:sp macro="" textlink="CONFIG_EFORM_DOC_ID_NAME">
        <xdr:nvSpPr>
          <xdr:cNvPr id="9" name="FOOTER_BG">
            <a:extLst>
              <a:ext uri="{FF2B5EF4-FFF2-40B4-BE49-F238E27FC236}">
                <a16:creationId xmlns:a16="http://schemas.microsoft.com/office/drawing/2014/main" id="{00000000-0008-0000-0200-000009000000}"/>
              </a:ext>
            </a:extLst>
          </xdr:cNvPr>
          <xdr:cNvSpPr/>
        </xdr:nvSpPr>
        <xdr:spPr>
          <a:xfrm>
            <a:off x="9296399" y="16259175"/>
            <a:ext cx="7452359" cy="371473"/>
          </a:xfrm>
          <a:prstGeom prst="rect">
            <a:avLst/>
          </a:prstGeom>
          <a:solidFill>
            <a:srgbClr val="00305E"/>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fld id="{318D66D7-35C3-43A5-9A89-905D240885C5}" type="TxLink">
              <a:rPr lang="en-US" sz="1000" b="1" i="0" u="none" strike="noStrike">
                <a:solidFill>
                  <a:schemeClr val="bg1"/>
                </a:solidFill>
                <a:latin typeface="+mn-lt"/>
                <a:ea typeface="+mn-ea"/>
                <a:cs typeface="Calibri"/>
              </a:rPr>
              <a:pPr marL="0" marR="0" indent="0" algn="r" defTabSz="914400" eaLnBrk="1" fontAlgn="auto" latinLnBrk="0" hangingPunct="1">
                <a:lnSpc>
                  <a:spcPct val="100000"/>
                </a:lnSpc>
                <a:spcBef>
                  <a:spcPts val="0"/>
                </a:spcBef>
                <a:spcAft>
                  <a:spcPts val="0"/>
                </a:spcAft>
                <a:buClrTx/>
                <a:buSzTx/>
                <a:buFontTx/>
                <a:buNone/>
                <a:tabLst/>
                <a:defRPr/>
              </a:pPr>
              <a:t>HDP-005: Homebuyer Dream Program Request Form</a:t>
            </a:fld>
            <a:endParaRPr lang="en-US" sz="1000" b="1">
              <a:solidFill>
                <a:schemeClr val="bg1"/>
              </a:solidFill>
              <a:latin typeface="+mn-lt"/>
            </a:endParaRPr>
          </a:p>
        </xdr:txBody>
      </xdr:sp>
      <xdr:sp macro="" textlink="">
        <xdr:nvSpPr>
          <xdr:cNvPr id="10" name="FOOTER_LINK_PAGETOP">
            <a:hlinkClick xmlns:r="http://schemas.openxmlformats.org/officeDocument/2006/relationships" r:id="rId6"/>
            <a:extLst>
              <a:ext uri="{FF2B5EF4-FFF2-40B4-BE49-F238E27FC236}">
                <a16:creationId xmlns:a16="http://schemas.microsoft.com/office/drawing/2014/main" id="{00000000-0008-0000-0200-00000A000000}"/>
              </a:ext>
            </a:extLst>
          </xdr:cNvPr>
          <xdr:cNvSpPr/>
        </xdr:nvSpPr>
        <xdr:spPr>
          <a:xfrm>
            <a:off x="9296399" y="16259175"/>
            <a:ext cx="1126715" cy="3619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u="none">
                <a:solidFill>
                  <a:schemeClr val="bg1"/>
                </a:solidFill>
                <a:latin typeface="+mn-lt"/>
              </a:rPr>
              <a:t>^ Back to Top</a:t>
            </a:r>
          </a:p>
        </xdr:txBody>
      </xdr:sp>
    </xdr:grpSp>
    <xdr:clientData fPrintsWithSheet="0"/>
  </xdr:twoCellAnchor>
  <xdr:oneCellAnchor>
    <xdr:from>
      <xdr:col>12</xdr:col>
      <xdr:colOff>1076325</xdr:colOff>
      <xdr:row>12</xdr:row>
      <xdr:rowOff>0</xdr:rowOff>
    </xdr:from>
    <xdr:ext cx="184731" cy="264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6670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7</xdr:col>
      <xdr:colOff>66675</xdr:colOff>
      <xdr:row>19</xdr:row>
      <xdr:rowOff>180974</xdr:rowOff>
    </xdr:from>
    <xdr:to>
      <xdr:col>24</xdr:col>
      <xdr:colOff>104776</xdr:colOff>
      <xdr:row>24</xdr:row>
      <xdr:rowOff>95248</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66675" y="5248274"/>
          <a:ext cx="7362826" cy="1295399"/>
          <a:chOff x="8191500" y="5295900"/>
          <a:chExt cx="7362826" cy="1172028"/>
        </a:xfrm>
      </xdr:grpSpPr>
      <xdr:grpSp>
        <xdr:nvGrpSpPr>
          <xdr:cNvPr id="16" name="RENTAL_1">
            <a:extLst>
              <a:ext uri="{FF2B5EF4-FFF2-40B4-BE49-F238E27FC236}">
                <a16:creationId xmlns:a16="http://schemas.microsoft.com/office/drawing/2014/main" id="{00000000-0008-0000-0200-000010000000}"/>
              </a:ext>
            </a:extLst>
          </xdr:cNvPr>
          <xdr:cNvGrpSpPr/>
        </xdr:nvGrpSpPr>
        <xdr:grpSpPr>
          <a:xfrm>
            <a:off x="8191500" y="5295901"/>
            <a:ext cx="7362825" cy="1172027"/>
            <a:chOff x="8191500" y="4057651"/>
            <a:chExt cx="7362825" cy="1172027"/>
          </a:xfrm>
        </xdr:grpSpPr>
        <xdr:sp macro="" textlink="">
          <xdr:nvSpPr>
            <xdr:cNvPr id="18" name="RENTAL_1_SECTION_FRAME">
              <a:extLst>
                <a:ext uri="{FF2B5EF4-FFF2-40B4-BE49-F238E27FC236}">
                  <a16:creationId xmlns:a16="http://schemas.microsoft.com/office/drawing/2014/main" id="{00000000-0008-0000-0200-000012000000}"/>
                </a:ext>
              </a:extLst>
            </xdr:cNvPr>
            <xdr:cNvSpPr/>
          </xdr:nvSpPr>
          <xdr:spPr>
            <a:xfrm>
              <a:off x="8191500" y="4367099"/>
              <a:ext cx="7362825" cy="86257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8">
          <xdr:nvSpPr>
            <xdr:cNvPr id="19" name="RENTAL_1_SECTION_TITLE">
              <a:extLst>
                <a:ext uri="{FF2B5EF4-FFF2-40B4-BE49-F238E27FC236}">
                  <a16:creationId xmlns:a16="http://schemas.microsoft.com/office/drawing/2014/main" id="{00000000-0008-0000-0200-000013000000}"/>
                </a:ext>
              </a:extLst>
            </xdr:cNvPr>
            <xdr:cNvSpPr/>
          </xdr:nvSpPr>
          <xdr:spPr>
            <a:xfrm>
              <a:off x="8191500" y="4057651"/>
              <a:ext cx="7360920" cy="311090"/>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41F85F06-3A35-4C2E-A513-A2CFAECED2A4}" type="TxLink">
                <a:rPr lang="en-US" sz="1100" b="1" i="0" u="none" strike="noStrike">
                  <a:solidFill>
                    <a:schemeClr val="bg1"/>
                  </a:solidFill>
                  <a:latin typeface="Calibri"/>
                </a:rPr>
                <a:pPr algn="l"/>
                <a:t>Federal Home Loan Bank of New York Member</a:t>
              </a:fld>
              <a:endParaRPr lang="en-US" sz="1100" b="1" i="0">
                <a:solidFill>
                  <a:schemeClr val="bg1"/>
                </a:solidFill>
              </a:endParaRPr>
            </a:p>
          </xdr:txBody>
        </xdr:sp>
        <xdr:sp macro="" textlink="$B$26">
          <xdr:nvSpPr>
            <xdr:cNvPr id="20" name="RENTAL_1_SECTION_SUBTITLE">
              <a:extLst>
                <a:ext uri="{FF2B5EF4-FFF2-40B4-BE49-F238E27FC236}">
                  <a16:creationId xmlns:a16="http://schemas.microsoft.com/office/drawing/2014/main" id="{00000000-0008-0000-0200-000014000000}"/>
                </a:ext>
              </a:extLst>
            </xdr:cNvPr>
            <xdr:cNvSpPr/>
          </xdr:nvSpPr>
          <xdr:spPr>
            <a:xfrm>
              <a:off x="8201025" y="4379110"/>
              <a:ext cx="7351776" cy="27432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CCDC5A28-C611-4D0B-B4D7-393A7AD37E0E}" type="TxLink">
                <a:rPr lang="en-US" sz="900" b="0" i="0" u="none" strike="noStrike">
                  <a:solidFill>
                    <a:srgbClr val="000000"/>
                  </a:solidFill>
                  <a:latin typeface="Calibri"/>
                </a:rPr>
                <a:pPr algn="l"/>
                <a:t>Not Started</a:t>
              </a:fld>
              <a:endParaRPr lang="en-US" sz="1100" i="0"/>
            </a:p>
          </xdr:txBody>
        </xdr:sp>
        <xdr:sp macro="" textlink="">
          <xdr:nvSpPr>
            <xdr:cNvPr id="21" name="RENTAL_1_SECTION_SUBTITLE_LABEL">
              <a:extLst>
                <a:ext uri="{FF2B5EF4-FFF2-40B4-BE49-F238E27FC236}">
                  <a16:creationId xmlns:a16="http://schemas.microsoft.com/office/drawing/2014/main" id="{00000000-0008-0000-0200-000015000000}"/>
                </a:ext>
              </a:extLst>
            </xdr:cNvPr>
            <xdr:cNvSpPr txBox="1"/>
          </xdr:nvSpPr>
          <xdr:spPr>
            <a:xfrm>
              <a:off x="8296277" y="4379110"/>
              <a:ext cx="476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17" name="LINK_RENTAL_TOC">
            <a:hlinkClick xmlns:r="http://schemas.openxmlformats.org/officeDocument/2006/relationships" r:id="rId6"/>
            <a:extLst>
              <a:ext uri="{FF2B5EF4-FFF2-40B4-BE49-F238E27FC236}">
                <a16:creationId xmlns:a16="http://schemas.microsoft.com/office/drawing/2014/main" id="{00000000-0008-0000-0200-000011000000}"/>
              </a:ext>
            </a:extLst>
          </xdr:cNvPr>
          <xdr:cNvSpPr/>
        </xdr:nvSpPr>
        <xdr:spPr>
          <a:xfrm>
            <a:off x="14525626" y="5295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14</xdr:col>
      <xdr:colOff>3398</xdr:colOff>
      <xdr:row>0</xdr:row>
      <xdr:rowOff>71440</xdr:rowOff>
    </xdr:from>
    <xdr:to>
      <xdr:col>24</xdr:col>
      <xdr:colOff>98648</xdr:colOff>
      <xdr:row>0</xdr:row>
      <xdr:rowOff>295275</xdr:rowOff>
    </xdr:to>
    <xdr:sp macro="" textlink="$B$6">
      <xdr:nvSpPr>
        <xdr:cNvPr id="22" name="HEADER_BANNER_TITLE">
          <a:extLst>
            <a:ext uri="{FF2B5EF4-FFF2-40B4-BE49-F238E27FC236}">
              <a16:creationId xmlns:a16="http://schemas.microsoft.com/office/drawing/2014/main" id="{00000000-0008-0000-0200-000016000000}"/>
            </a:ext>
          </a:extLst>
        </xdr:cNvPr>
        <xdr:cNvSpPr txBox="1"/>
      </xdr:nvSpPr>
      <xdr:spPr>
        <a:xfrm>
          <a:off x="2851373" y="71440"/>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100" b="1" i="0" u="none" strike="noStrike">
              <a:solidFill>
                <a:sysClr val="windowText" lastClr="000000"/>
              </a:solidFill>
              <a:latin typeface="Calibri"/>
              <a:cs typeface="Calibri"/>
            </a:rPr>
            <a:pPr algn="r"/>
            <a:t>Homebuyer Dream Program® Request Form - 2023 Round</a:t>
          </a:fld>
          <a:endParaRPr lang="en-US" sz="1100" b="1" i="0">
            <a:solidFill>
              <a:sysClr val="windowText" lastClr="000000"/>
            </a:solidFill>
          </a:endParaRPr>
        </a:p>
      </xdr:txBody>
    </xdr:sp>
    <xdr:clientData/>
  </xdr:twoCellAnchor>
  <xdr:twoCellAnchor editAs="oneCell">
    <xdr:from>
      <xdr:col>7</xdr:col>
      <xdr:colOff>66675</xdr:colOff>
      <xdr:row>24</xdr:row>
      <xdr:rowOff>238125</xdr:rowOff>
    </xdr:from>
    <xdr:to>
      <xdr:col>24</xdr:col>
      <xdr:colOff>104776</xdr:colOff>
      <xdr:row>29</xdr:row>
      <xdr:rowOff>95252</xdr:rowOff>
    </xdr:to>
    <xdr:grpSp>
      <xdr:nvGrpSpPr>
        <xdr:cNvPr id="23" name="Group 22">
          <a:extLst>
            <a:ext uri="{FF2B5EF4-FFF2-40B4-BE49-F238E27FC236}">
              <a16:creationId xmlns:a16="http://schemas.microsoft.com/office/drawing/2014/main" id="{00000000-0008-0000-0200-000017000000}"/>
            </a:ext>
          </a:extLst>
        </xdr:cNvPr>
        <xdr:cNvGrpSpPr/>
      </xdr:nvGrpSpPr>
      <xdr:grpSpPr>
        <a:xfrm>
          <a:off x="66675" y="6686550"/>
          <a:ext cx="7362826" cy="1238252"/>
          <a:chOff x="8191500" y="8343900"/>
          <a:chExt cx="7362826" cy="1238252"/>
        </a:xfrm>
      </xdr:grpSpPr>
      <xdr:grpSp>
        <xdr:nvGrpSpPr>
          <xdr:cNvPr id="24" name="RENTAL_2">
            <a:extLst>
              <a:ext uri="{FF2B5EF4-FFF2-40B4-BE49-F238E27FC236}">
                <a16:creationId xmlns:a16="http://schemas.microsoft.com/office/drawing/2014/main" id="{00000000-0008-0000-0200-000018000000}"/>
              </a:ext>
            </a:extLst>
          </xdr:cNvPr>
          <xdr:cNvGrpSpPr/>
        </xdr:nvGrpSpPr>
        <xdr:grpSpPr>
          <a:xfrm>
            <a:off x="8191500" y="8343902"/>
            <a:ext cx="7362825" cy="1238250"/>
            <a:chOff x="9353550" y="7334730"/>
            <a:chExt cx="7362825" cy="1176100"/>
          </a:xfrm>
        </xdr:grpSpPr>
        <xdr:sp macro="" textlink="">
          <xdr:nvSpPr>
            <xdr:cNvPr id="26" name="RENTAL_2_SECTION_FRAME">
              <a:extLst>
                <a:ext uri="{FF2B5EF4-FFF2-40B4-BE49-F238E27FC236}">
                  <a16:creationId xmlns:a16="http://schemas.microsoft.com/office/drawing/2014/main" id="{00000000-0008-0000-0200-00001A000000}"/>
                </a:ext>
              </a:extLst>
            </xdr:cNvPr>
            <xdr:cNvSpPr/>
          </xdr:nvSpPr>
          <xdr:spPr>
            <a:xfrm>
              <a:off x="9353550" y="7632465"/>
              <a:ext cx="7362825" cy="87836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31">
          <xdr:nvSpPr>
            <xdr:cNvPr id="27" name="RENTAL_2_SECTION_TITLE">
              <a:extLst>
                <a:ext uri="{FF2B5EF4-FFF2-40B4-BE49-F238E27FC236}">
                  <a16:creationId xmlns:a16="http://schemas.microsoft.com/office/drawing/2014/main" id="{00000000-0008-0000-0200-00001B000000}"/>
                </a:ext>
              </a:extLst>
            </xdr:cNvPr>
            <xdr:cNvSpPr/>
          </xdr:nvSpPr>
          <xdr:spPr>
            <a:xfrm>
              <a:off x="9353550" y="7334730"/>
              <a:ext cx="7360920" cy="29166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7EBC575-AB48-40AE-B3DF-C45D66875040}" type="TxLink">
                <a:rPr lang="en-US" sz="1100" b="1" i="0" u="none" strike="noStrike">
                  <a:solidFill>
                    <a:schemeClr val="bg1"/>
                  </a:solidFill>
                  <a:latin typeface="Calibri"/>
                </a:rPr>
                <a:pPr algn="l"/>
                <a:t>Household Information</a:t>
              </a:fld>
              <a:endParaRPr lang="en-US" sz="1100" b="1" i="0">
                <a:solidFill>
                  <a:schemeClr val="bg1"/>
                </a:solidFill>
              </a:endParaRPr>
            </a:p>
          </xdr:txBody>
        </xdr:sp>
        <xdr:sp macro="" textlink="$B$40">
          <xdr:nvSpPr>
            <xdr:cNvPr id="28" name="RENTAL_2_SECTION_SUBTITLE">
              <a:extLst>
                <a:ext uri="{FF2B5EF4-FFF2-40B4-BE49-F238E27FC236}">
                  <a16:creationId xmlns:a16="http://schemas.microsoft.com/office/drawing/2014/main" id="{00000000-0008-0000-0200-00001C000000}"/>
                </a:ext>
              </a:extLst>
            </xdr:cNvPr>
            <xdr:cNvSpPr/>
          </xdr:nvSpPr>
          <xdr:spPr>
            <a:xfrm>
              <a:off x="9363075" y="7641569"/>
              <a:ext cx="7351776" cy="25735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105E12F8-653C-4DF9-8753-A54BD8A3A967}" type="TxLink">
                <a:rPr lang="en-US" sz="900" b="0" i="0" u="none" strike="noStrike">
                  <a:solidFill>
                    <a:srgbClr val="000000"/>
                  </a:solidFill>
                  <a:latin typeface="Calibri"/>
                </a:rPr>
                <a:pPr algn="l"/>
                <a:t>Not Started</a:t>
              </a:fld>
              <a:endParaRPr lang="en-US" sz="1100" i="0"/>
            </a:p>
          </xdr:txBody>
        </xdr:sp>
        <xdr:sp macro="" textlink="">
          <xdr:nvSpPr>
            <xdr:cNvPr id="29" name="RENTAL_2_SECTION_SUBTITLE_LABEL">
              <a:extLst>
                <a:ext uri="{FF2B5EF4-FFF2-40B4-BE49-F238E27FC236}">
                  <a16:creationId xmlns:a16="http://schemas.microsoft.com/office/drawing/2014/main" id="{00000000-0008-0000-0200-00001D000000}"/>
                </a:ext>
              </a:extLst>
            </xdr:cNvPr>
            <xdr:cNvSpPr txBox="1"/>
          </xdr:nvSpPr>
          <xdr:spPr>
            <a:xfrm>
              <a:off x="9458327" y="7641569"/>
              <a:ext cx="476249" cy="257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25" name="LINK_RENTAL_TOC">
            <a:hlinkClick xmlns:r="http://schemas.openxmlformats.org/officeDocument/2006/relationships" r:id="rId6"/>
            <a:extLst>
              <a:ext uri="{FF2B5EF4-FFF2-40B4-BE49-F238E27FC236}">
                <a16:creationId xmlns:a16="http://schemas.microsoft.com/office/drawing/2014/main" id="{00000000-0008-0000-0200-000019000000}"/>
              </a:ext>
            </a:extLst>
          </xdr:cNvPr>
          <xdr:cNvSpPr/>
        </xdr:nvSpPr>
        <xdr:spPr>
          <a:xfrm>
            <a:off x="14525626" y="8343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29</xdr:row>
      <xdr:rowOff>276222</xdr:rowOff>
    </xdr:from>
    <xdr:to>
      <xdr:col>24</xdr:col>
      <xdr:colOff>114300</xdr:colOff>
      <xdr:row>40</xdr:row>
      <xdr:rowOff>57147</xdr:rowOff>
    </xdr:to>
    <xdr:grpSp>
      <xdr:nvGrpSpPr>
        <xdr:cNvPr id="30" name="Group 29">
          <a:extLst>
            <a:ext uri="{FF2B5EF4-FFF2-40B4-BE49-F238E27FC236}">
              <a16:creationId xmlns:a16="http://schemas.microsoft.com/office/drawing/2014/main" id="{00000000-0008-0000-0200-00001E000000}"/>
            </a:ext>
          </a:extLst>
        </xdr:cNvPr>
        <xdr:cNvGrpSpPr/>
      </xdr:nvGrpSpPr>
      <xdr:grpSpPr>
        <a:xfrm>
          <a:off x="66675" y="8105772"/>
          <a:ext cx="7372350" cy="2819400"/>
          <a:chOff x="8191500" y="11668122"/>
          <a:chExt cx="7372350" cy="2819400"/>
        </a:xfrm>
      </xdr:grpSpPr>
      <xdr:grpSp>
        <xdr:nvGrpSpPr>
          <xdr:cNvPr id="31" name="RENTAL_3">
            <a:extLst>
              <a:ext uri="{FF2B5EF4-FFF2-40B4-BE49-F238E27FC236}">
                <a16:creationId xmlns:a16="http://schemas.microsoft.com/office/drawing/2014/main" id="{00000000-0008-0000-0200-00001F000000}"/>
              </a:ext>
            </a:extLst>
          </xdr:cNvPr>
          <xdr:cNvGrpSpPr/>
        </xdr:nvGrpSpPr>
        <xdr:grpSpPr>
          <a:xfrm>
            <a:off x="8191500" y="11668122"/>
            <a:ext cx="7362825" cy="2819400"/>
            <a:chOff x="9353550" y="10677527"/>
            <a:chExt cx="7362825" cy="2653267"/>
          </a:xfrm>
        </xdr:grpSpPr>
        <xdr:sp macro="" textlink="">
          <xdr:nvSpPr>
            <xdr:cNvPr id="33" name="RENTAL_3_SECTION_FRAME">
              <a:extLst>
                <a:ext uri="{FF2B5EF4-FFF2-40B4-BE49-F238E27FC236}">
                  <a16:creationId xmlns:a16="http://schemas.microsoft.com/office/drawing/2014/main" id="{00000000-0008-0000-0200-000021000000}"/>
                </a:ext>
              </a:extLst>
            </xdr:cNvPr>
            <xdr:cNvSpPr/>
          </xdr:nvSpPr>
          <xdr:spPr>
            <a:xfrm>
              <a:off x="9353550" y="10971289"/>
              <a:ext cx="7362825" cy="235950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45">
          <xdr:nvSpPr>
            <xdr:cNvPr id="34" name="RENTAL_3_SECTION_TITLE">
              <a:extLst>
                <a:ext uri="{FF2B5EF4-FFF2-40B4-BE49-F238E27FC236}">
                  <a16:creationId xmlns:a16="http://schemas.microsoft.com/office/drawing/2014/main" id="{00000000-0008-0000-0200-000022000000}"/>
                </a:ext>
              </a:extLst>
            </xdr:cNvPr>
            <xdr:cNvSpPr/>
          </xdr:nvSpPr>
          <xdr:spPr>
            <a:xfrm>
              <a:off x="9353550" y="10677527"/>
              <a:ext cx="7360920" cy="28988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E5F0481B-FAA3-4CC6-BC46-194342DDD317}" type="TxLink">
                <a:rPr lang="en-US" sz="1100" b="1" i="0" u="none" strike="noStrike">
                  <a:solidFill>
                    <a:schemeClr val="bg1"/>
                  </a:solidFill>
                  <a:latin typeface="Calibri"/>
                </a:rPr>
                <a:pPr algn="l"/>
                <a:t>Grant Summary</a:t>
              </a:fld>
              <a:endParaRPr lang="en-US" sz="1100" b="1" i="0" u="none" strike="noStrike">
                <a:solidFill>
                  <a:schemeClr val="bg1"/>
                </a:solidFill>
                <a:latin typeface="Calibri"/>
              </a:endParaRPr>
            </a:p>
          </xdr:txBody>
        </xdr:sp>
        <xdr:sp macro="" textlink="$B$55">
          <xdr:nvSpPr>
            <xdr:cNvPr id="35" name="RENTAL_3_SECTION_SUBTITLE">
              <a:extLst>
                <a:ext uri="{FF2B5EF4-FFF2-40B4-BE49-F238E27FC236}">
                  <a16:creationId xmlns:a16="http://schemas.microsoft.com/office/drawing/2014/main" id="{00000000-0008-0000-0200-000023000000}"/>
                </a:ext>
              </a:extLst>
            </xdr:cNvPr>
            <xdr:cNvSpPr/>
          </xdr:nvSpPr>
          <xdr:spPr>
            <a:xfrm>
              <a:off x="9363075" y="10973444"/>
              <a:ext cx="7351776" cy="25578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AC7DE13B-4CF9-4B53-B058-CF26A2B7D8EE}" type="TxLink">
                <a:rPr lang="en-US" sz="900" b="0" i="0" u="none" strike="noStrike">
                  <a:solidFill>
                    <a:srgbClr val="000000"/>
                  </a:solidFill>
                  <a:latin typeface="Calibri"/>
                </a:rPr>
                <a:pPr algn="l"/>
                <a:t>Not Started</a:t>
              </a:fld>
              <a:endParaRPr lang="en-US" sz="1100" i="0"/>
            </a:p>
          </xdr:txBody>
        </xdr:sp>
        <xdr:sp macro="" textlink="">
          <xdr:nvSpPr>
            <xdr:cNvPr id="36" name="RENTAL_3_SECTION_SUBTITLE_LABEL">
              <a:extLst>
                <a:ext uri="{FF2B5EF4-FFF2-40B4-BE49-F238E27FC236}">
                  <a16:creationId xmlns:a16="http://schemas.microsoft.com/office/drawing/2014/main" id="{00000000-0008-0000-0200-000024000000}"/>
                </a:ext>
              </a:extLst>
            </xdr:cNvPr>
            <xdr:cNvSpPr txBox="1"/>
          </xdr:nvSpPr>
          <xdr:spPr>
            <a:xfrm>
              <a:off x="9458327" y="10973444"/>
              <a:ext cx="476249" cy="25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32" name="LINK_RENTAL_TOC">
            <a:hlinkClick xmlns:r="http://schemas.openxmlformats.org/officeDocument/2006/relationships" r:id="rId6"/>
            <a:extLst>
              <a:ext uri="{FF2B5EF4-FFF2-40B4-BE49-F238E27FC236}">
                <a16:creationId xmlns:a16="http://schemas.microsoft.com/office/drawing/2014/main" id="{00000000-0008-0000-0200-000020000000}"/>
              </a:ext>
            </a:extLst>
          </xdr:cNvPr>
          <xdr:cNvSpPr/>
        </xdr:nvSpPr>
        <xdr:spPr>
          <a:xfrm>
            <a:off x="14535150" y="116776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40</xdr:row>
      <xdr:rowOff>228599</xdr:rowOff>
    </xdr:from>
    <xdr:to>
      <xdr:col>24</xdr:col>
      <xdr:colOff>104775</xdr:colOff>
      <xdr:row>69</xdr:row>
      <xdr:rowOff>76202</xdr:rowOff>
    </xdr:to>
    <xdr:grpSp>
      <xdr:nvGrpSpPr>
        <xdr:cNvPr id="37" name="Group 36">
          <a:extLst>
            <a:ext uri="{FF2B5EF4-FFF2-40B4-BE49-F238E27FC236}">
              <a16:creationId xmlns:a16="http://schemas.microsoft.com/office/drawing/2014/main" id="{00000000-0008-0000-0200-000025000000}"/>
            </a:ext>
          </a:extLst>
        </xdr:cNvPr>
        <xdr:cNvGrpSpPr/>
      </xdr:nvGrpSpPr>
      <xdr:grpSpPr>
        <a:xfrm>
          <a:off x="66675" y="11096624"/>
          <a:ext cx="7362825" cy="7858128"/>
          <a:chOff x="8191500" y="14963772"/>
          <a:chExt cx="7362825" cy="7858128"/>
        </a:xfrm>
      </xdr:grpSpPr>
      <xdr:grpSp>
        <xdr:nvGrpSpPr>
          <xdr:cNvPr id="38" name="RENTAL_4">
            <a:extLst>
              <a:ext uri="{FF2B5EF4-FFF2-40B4-BE49-F238E27FC236}">
                <a16:creationId xmlns:a16="http://schemas.microsoft.com/office/drawing/2014/main" id="{00000000-0008-0000-0200-000026000000}"/>
              </a:ext>
            </a:extLst>
          </xdr:cNvPr>
          <xdr:cNvGrpSpPr/>
        </xdr:nvGrpSpPr>
        <xdr:grpSpPr>
          <a:xfrm>
            <a:off x="8191500" y="14963772"/>
            <a:ext cx="7362825" cy="7858128"/>
            <a:chOff x="9363075" y="13992996"/>
            <a:chExt cx="7362825" cy="7219793"/>
          </a:xfrm>
        </xdr:grpSpPr>
        <xdr:sp macro="" textlink="">
          <xdr:nvSpPr>
            <xdr:cNvPr id="40" name="RENTAL_4_SECTION_FRAME">
              <a:extLst>
                <a:ext uri="{FF2B5EF4-FFF2-40B4-BE49-F238E27FC236}">
                  <a16:creationId xmlns:a16="http://schemas.microsoft.com/office/drawing/2014/main" id="{00000000-0008-0000-0200-000028000000}"/>
                </a:ext>
              </a:extLst>
            </xdr:cNvPr>
            <xdr:cNvSpPr/>
          </xdr:nvSpPr>
          <xdr:spPr>
            <a:xfrm>
              <a:off x="9363075" y="14291730"/>
              <a:ext cx="7362825" cy="692105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60">
          <xdr:nvSpPr>
            <xdr:cNvPr id="41" name="RENTAL_4_SECTION_TITLE">
              <a:extLst>
                <a:ext uri="{FF2B5EF4-FFF2-40B4-BE49-F238E27FC236}">
                  <a16:creationId xmlns:a16="http://schemas.microsoft.com/office/drawing/2014/main" id="{00000000-0008-0000-0200-000029000000}"/>
                </a:ext>
              </a:extLst>
            </xdr:cNvPr>
            <xdr:cNvSpPr/>
          </xdr:nvSpPr>
          <xdr:spPr>
            <a:xfrm>
              <a:off x="9363075" y="13992996"/>
              <a:ext cx="7360920" cy="285641"/>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C87D710-882F-4EA8-810D-76AA4F2BFC65}" type="TxLink">
                <a:rPr lang="en-US" sz="1100" b="1" i="0" u="none" strike="noStrike">
                  <a:solidFill>
                    <a:schemeClr val="bg1"/>
                  </a:solidFill>
                  <a:latin typeface="Calibri"/>
                </a:rPr>
                <a:pPr algn="l"/>
                <a:t>Mortgage Information</a:t>
              </a:fld>
              <a:endParaRPr lang="en-US" sz="1100" b="1" i="0" u="none" strike="noStrike">
                <a:solidFill>
                  <a:schemeClr val="bg1"/>
                </a:solidFill>
                <a:latin typeface="Calibri"/>
              </a:endParaRPr>
            </a:p>
          </xdr:txBody>
        </xdr:sp>
        <xdr:sp macro="" textlink="$B$81">
          <xdr:nvSpPr>
            <xdr:cNvPr id="42" name="RENTAL_4_SECTION_SUBTITLE">
              <a:extLst>
                <a:ext uri="{FF2B5EF4-FFF2-40B4-BE49-F238E27FC236}">
                  <a16:creationId xmlns:a16="http://schemas.microsoft.com/office/drawing/2014/main" id="{00000000-0008-0000-0200-00002A000000}"/>
                </a:ext>
              </a:extLst>
            </xdr:cNvPr>
            <xdr:cNvSpPr/>
          </xdr:nvSpPr>
          <xdr:spPr>
            <a:xfrm>
              <a:off x="9372600" y="14297025"/>
              <a:ext cx="7351776" cy="252036"/>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224E38E-FD2B-4D43-9985-507D8E54C645}" type="TxLink">
                <a:rPr lang="en-US" sz="900" b="0" i="0" u="none" strike="noStrike">
                  <a:solidFill>
                    <a:srgbClr val="000000"/>
                  </a:solidFill>
                  <a:latin typeface="Calibri"/>
                </a:rPr>
                <a:pPr algn="l"/>
                <a:t>Optional</a:t>
              </a:fld>
              <a:endParaRPr lang="en-US" sz="1100" i="0"/>
            </a:p>
          </xdr:txBody>
        </xdr:sp>
        <xdr:sp macro="" textlink="">
          <xdr:nvSpPr>
            <xdr:cNvPr id="43" name="RENTAL_4_SECTION_SUBTITLE_LABEL">
              <a:extLst>
                <a:ext uri="{FF2B5EF4-FFF2-40B4-BE49-F238E27FC236}">
                  <a16:creationId xmlns:a16="http://schemas.microsoft.com/office/drawing/2014/main" id="{00000000-0008-0000-0200-00002B000000}"/>
                </a:ext>
              </a:extLst>
            </xdr:cNvPr>
            <xdr:cNvSpPr txBox="1"/>
          </xdr:nvSpPr>
          <xdr:spPr>
            <a:xfrm>
              <a:off x="9467852" y="14297025"/>
              <a:ext cx="476249" cy="25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39" name="LINK_RENTAL_TOC">
            <a:hlinkClick xmlns:r="http://schemas.openxmlformats.org/officeDocument/2006/relationships" r:id="rId6"/>
            <a:extLst>
              <a:ext uri="{FF2B5EF4-FFF2-40B4-BE49-F238E27FC236}">
                <a16:creationId xmlns:a16="http://schemas.microsoft.com/office/drawing/2014/main" id="{00000000-0008-0000-0200-000027000000}"/>
              </a:ext>
            </a:extLst>
          </xdr:cNvPr>
          <xdr:cNvSpPr/>
        </xdr:nvSpPr>
        <xdr:spPr>
          <a:xfrm>
            <a:off x="14525625" y="149733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70</xdr:row>
      <xdr:rowOff>0</xdr:rowOff>
    </xdr:from>
    <xdr:to>
      <xdr:col>24</xdr:col>
      <xdr:colOff>104775</xdr:colOff>
      <xdr:row>86</xdr:row>
      <xdr:rowOff>85725</xdr:rowOff>
    </xdr:to>
    <xdr:grpSp>
      <xdr:nvGrpSpPr>
        <xdr:cNvPr id="44" name="Group 43">
          <a:extLst>
            <a:ext uri="{FF2B5EF4-FFF2-40B4-BE49-F238E27FC236}">
              <a16:creationId xmlns:a16="http://schemas.microsoft.com/office/drawing/2014/main" id="{00000000-0008-0000-0200-00002C000000}"/>
            </a:ext>
          </a:extLst>
        </xdr:cNvPr>
        <xdr:cNvGrpSpPr/>
      </xdr:nvGrpSpPr>
      <xdr:grpSpPr>
        <a:xfrm>
          <a:off x="66675" y="19154775"/>
          <a:ext cx="7362825" cy="4505325"/>
          <a:chOff x="8191500" y="18297525"/>
          <a:chExt cx="7362825" cy="4505325"/>
        </a:xfrm>
      </xdr:grpSpPr>
      <xdr:grpSp>
        <xdr:nvGrpSpPr>
          <xdr:cNvPr id="45" name="RENTAL_5">
            <a:extLst>
              <a:ext uri="{FF2B5EF4-FFF2-40B4-BE49-F238E27FC236}">
                <a16:creationId xmlns:a16="http://schemas.microsoft.com/office/drawing/2014/main" id="{00000000-0008-0000-0200-00002D000000}"/>
              </a:ext>
            </a:extLst>
          </xdr:cNvPr>
          <xdr:cNvGrpSpPr/>
        </xdr:nvGrpSpPr>
        <xdr:grpSpPr>
          <a:xfrm>
            <a:off x="8191500" y="18297527"/>
            <a:ext cx="7362825" cy="4505323"/>
            <a:chOff x="9363075" y="17297252"/>
            <a:chExt cx="7362825" cy="4617472"/>
          </a:xfrm>
        </xdr:grpSpPr>
        <xdr:sp macro="" textlink="">
          <xdr:nvSpPr>
            <xdr:cNvPr id="47" name="RENTAL_5_SECTION_FRAME">
              <a:extLst>
                <a:ext uri="{FF2B5EF4-FFF2-40B4-BE49-F238E27FC236}">
                  <a16:creationId xmlns:a16="http://schemas.microsoft.com/office/drawing/2014/main" id="{00000000-0008-0000-0200-00002F000000}"/>
                </a:ext>
              </a:extLst>
            </xdr:cNvPr>
            <xdr:cNvSpPr/>
          </xdr:nvSpPr>
          <xdr:spPr>
            <a:xfrm>
              <a:off x="9363075" y="17617605"/>
              <a:ext cx="7362825" cy="429711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90">
          <xdr:nvSpPr>
            <xdr:cNvPr id="48" name="RENTAL_5_SECTION_TITLE">
              <a:extLst>
                <a:ext uri="{FF2B5EF4-FFF2-40B4-BE49-F238E27FC236}">
                  <a16:creationId xmlns:a16="http://schemas.microsoft.com/office/drawing/2014/main" id="{00000000-0008-0000-0200-000030000000}"/>
                </a:ext>
              </a:extLst>
            </xdr:cNvPr>
            <xdr:cNvSpPr/>
          </xdr:nvSpPr>
          <xdr:spPr>
            <a:xfrm>
              <a:off x="9363075" y="17297252"/>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EFEBC25B-7A00-49A1-B18C-0C8499BCDCC4}" type="TxLink">
                <a:rPr lang="en-US" sz="1100" b="1" i="0" u="none" strike="noStrike">
                  <a:solidFill>
                    <a:schemeClr val="bg1"/>
                  </a:solidFill>
                  <a:latin typeface="Calibri"/>
                </a:rPr>
                <a:pPr algn="l"/>
                <a:t>Other Grants</a:t>
              </a:fld>
              <a:endParaRPr lang="en-US" sz="1100" b="1" i="0" u="none" strike="noStrike">
                <a:solidFill>
                  <a:schemeClr val="bg1"/>
                </a:solidFill>
                <a:latin typeface="Calibri"/>
              </a:endParaRPr>
            </a:p>
          </xdr:txBody>
        </xdr:sp>
        <xdr:sp macro="" textlink="$B$108">
          <xdr:nvSpPr>
            <xdr:cNvPr id="49" name="RENTAL_5_SECTION_SUBTITLE">
              <a:extLst>
                <a:ext uri="{FF2B5EF4-FFF2-40B4-BE49-F238E27FC236}">
                  <a16:creationId xmlns:a16="http://schemas.microsoft.com/office/drawing/2014/main" id="{00000000-0008-0000-0200-000031000000}"/>
                </a:ext>
              </a:extLst>
            </xdr:cNvPr>
            <xdr:cNvSpPr/>
          </xdr:nvSpPr>
          <xdr:spPr>
            <a:xfrm>
              <a:off x="9372598" y="17621098"/>
              <a:ext cx="7351776" cy="27855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ADBC2A39-60A8-4CFF-858A-1F847464B22E}" type="TxLink">
                <a:rPr lang="en-US" sz="900" b="0" i="0" u="none" strike="noStrike">
                  <a:solidFill>
                    <a:srgbClr val="000000"/>
                  </a:solidFill>
                  <a:latin typeface="Calibri"/>
                </a:rPr>
                <a:pPr algn="l"/>
                <a:t>Optional</a:t>
              </a:fld>
              <a:endParaRPr lang="en-US" sz="1100" i="0"/>
            </a:p>
          </xdr:txBody>
        </xdr:sp>
        <xdr:sp macro="" textlink="">
          <xdr:nvSpPr>
            <xdr:cNvPr id="50" name="RENTAL_5_SECTION_SUBTITLE_LABEL">
              <a:extLst>
                <a:ext uri="{FF2B5EF4-FFF2-40B4-BE49-F238E27FC236}">
                  <a16:creationId xmlns:a16="http://schemas.microsoft.com/office/drawing/2014/main" id="{00000000-0008-0000-0200-000032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46" name="LINK_RENTAL_TOC">
            <a:hlinkClick xmlns:r="http://schemas.openxmlformats.org/officeDocument/2006/relationships" r:id="rId6"/>
            <a:extLst>
              <a:ext uri="{FF2B5EF4-FFF2-40B4-BE49-F238E27FC236}">
                <a16:creationId xmlns:a16="http://schemas.microsoft.com/office/drawing/2014/main" id="{00000000-0008-0000-0200-00002E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51" name="HEADER_BANNER_SUBTITLE">
          <a:extLst>
            <a:ext uri="{FF2B5EF4-FFF2-40B4-BE49-F238E27FC236}">
              <a16:creationId xmlns:a16="http://schemas.microsoft.com/office/drawing/2014/main" id="{00000000-0008-0000-0200-000033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800" b="1" i="0" u="none" strike="noStrike">
              <a:solidFill>
                <a:schemeClr val="bg1"/>
              </a:solidFill>
              <a:latin typeface="Calibri"/>
              <a:cs typeface="Calibri"/>
            </a:rPr>
            <a:pPr algn="ctr"/>
            <a:t>Funding Request</a:t>
          </a:fld>
          <a:endParaRPr lang="en-US" sz="800" b="1" i="0" u="none" strike="noStrike">
            <a:solidFill>
              <a:schemeClr val="bg1"/>
            </a:solidFill>
            <a:latin typeface="Calibri"/>
          </a:endParaRPr>
        </a:p>
      </xdr:txBody>
    </xdr:sp>
    <xdr:clientData/>
  </xdr:twoCellAnchor>
  <xdr:twoCellAnchor editAs="oneCell">
    <xdr:from>
      <xdr:col>7</xdr:col>
      <xdr:colOff>28574</xdr:colOff>
      <xdr:row>0</xdr:row>
      <xdr:rowOff>37735</xdr:rowOff>
    </xdr:from>
    <xdr:to>
      <xdr:col>10</xdr:col>
      <xdr:colOff>299467</xdr:colOff>
      <xdr:row>0</xdr:row>
      <xdr:rowOff>480458</xdr:rowOff>
    </xdr:to>
    <xdr:pic>
      <xdr:nvPicPr>
        <xdr:cNvPr id="52" name="FHLBNY_LOGO" descr="Medium.gif">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7" cstate="print"/>
        <a:stretch>
          <a:fillRect/>
        </a:stretch>
      </xdr:blipFill>
      <xdr:spPr>
        <a:xfrm>
          <a:off x="28574" y="37735"/>
          <a:ext cx="1328168" cy="442723"/>
        </a:xfrm>
        <a:prstGeom prst="rect">
          <a:avLst/>
        </a:prstGeom>
      </xdr:spPr>
    </xdr:pic>
    <xdr:clientData/>
  </xdr:twoCellAnchor>
  <xdr:twoCellAnchor editAs="oneCell">
    <xdr:from>
      <xdr:col>16</xdr:col>
      <xdr:colOff>116964</xdr:colOff>
      <xdr:row>0</xdr:row>
      <xdr:rowOff>308208</xdr:rowOff>
    </xdr:from>
    <xdr:to>
      <xdr:col>24</xdr:col>
      <xdr:colOff>99381</xdr:colOff>
      <xdr:row>0</xdr:row>
      <xdr:rowOff>491088</xdr:rowOff>
    </xdr:to>
    <xdr:sp macro="" textlink="CONFIG_EFORM_DOC_ID_NAME">
      <xdr:nvSpPr>
        <xdr:cNvPr id="53" name="HEADER_BANNER_DOCID">
          <a:extLst>
            <a:ext uri="{FF2B5EF4-FFF2-40B4-BE49-F238E27FC236}">
              <a16:creationId xmlns:a16="http://schemas.microsoft.com/office/drawing/2014/main" id="{00000000-0008-0000-0200-000035000000}"/>
            </a:ext>
          </a:extLst>
        </xdr:cNvPr>
        <xdr:cNvSpPr txBox="1"/>
      </xdr:nvSpPr>
      <xdr:spPr>
        <a:xfrm>
          <a:off x="3860289" y="308208"/>
          <a:ext cx="3563817"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97113A79-CD90-47BB-BEF4-2FFEEDF102CE}" type="TxLink">
            <a:rPr lang="en-US" sz="800" b="0" i="0" u="none" strike="noStrike" baseline="0">
              <a:solidFill>
                <a:srgbClr val="000000"/>
              </a:solidFill>
              <a:latin typeface="Calibri"/>
              <a:cs typeface="Calibri"/>
            </a:rPr>
            <a:pPr algn="r"/>
            <a:t>HDP-005: Homebuyer Dream Program Request Form</a:t>
          </a:fld>
          <a:endParaRPr lang="en-US" sz="600" b="0" i="0" u="none" strike="noStrike">
            <a:solidFill>
              <a:sysClr val="windowText" lastClr="000000"/>
            </a:solidFill>
            <a:latin typeface="Calibri"/>
          </a:endParaRPr>
        </a:p>
      </xdr:txBody>
    </xdr:sp>
    <xdr:clientData/>
  </xdr:twoCellAnchor>
  <xdr:twoCellAnchor editAs="oneCell">
    <xdr:from>
      <xdr:col>7</xdr:col>
      <xdr:colOff>9526</xdr:colOff>
      <xdr:row>0</xdr:row>
      <xdr:rowOff>14945</xdr:rowOff>
    </xdr:from>
    <xdr:to>
      <xdr:col>25</xdr:col>
      <xdr:colOff>0</xdr:colOff>
      <xdr:row>4</xdr:row>
      <xdr:rowOff>10433</xdr:rowOff>
    </xdr:to>
    <xdr:sp macro="" textlink="">
      <xdr:nvSpPr>
        <xdr:cNvPr id="54" name="HEADER_SHORTCUT_TOP">
          <a:hlinkClick xmlns:r="http://schemas.openxmlformats.org/officeDocument/2006/relationships" r:id="rId6" tooltip="Jump to Top"/>
          <a:extLst>
            <a:ext uri="{FF2B5EF4-FFF2-40B4-BE49-F238E27FC236}">
              <a16:creationId xmlns:a16="http://schemas.microsoft.com/office/drawing/2014/main" id="{00000000-0008-0000-0200-000036000000}"/>
            </a:ext>
          </a:extLst>
        </xdr:cNvPr>
        <xdr:cNvSpPr/>
      </xdr:nvSpPr>
      <xdr:spPr>
        <a:xfrm>
          <a:off x="9526" y="14945"/>
          <a:ext cx="7477124" cy="77653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p>
      </xdr:txBody>
    </xdr:sp>
    <xdr:clientData fPrintsWithSheet="0"/>
  </xdr:twoCellAnchor>
  <xdr:twoCellAnchor editAs="oneCell">
    <xdr:from>
      <xdr:col>7</xdr:col>
      <xdr:colOff>66675</xdr:colOff>
      <xdr:row>13</xdr:row>
      <xdr:rowOff>228603</xdr:rowOff>
    </xdr:from>
    <xdr:to>
      <xdr:col>24</xdr:col>
      <xdr:colOff>104777</xdr:colOff>
      <xdr:row>19</xdr:row>
      <xdr:rowOff>0</xdr:rowOff>
    </xdr:to>
    <xdr:grpSp>
      <xdr:nvGrpSpPr>
        <xdr:cNvPr id="55" name="TABLE_OF_CONTENTS_RENTAL">
          <a:extLst>
            <a:ext uri="{FF2B5EF4-FFF2-40B4-BE49-F238E27FC236}">
              <a16:creationId xmlns:a16="http://schemas.microsoft.com/office/drawing/2014/main" id="{00000000-0008-0000-0200-000037000000}"/>
            </a:ext>
          </a:extLst>
        </xdr:cNvPr>
        <xdr:cNvGrpSpPr/>
      </xdr:nvGrpSpPr>
      <xdr:grpSpPr>
        <a:xfrm>
          <a:off x="66675" y="3638553"/>
          <a:ext cx="7362827" cy="1428747"/>
          <a:chOff x="8191498" y="1276170"/>
          <a:chExt cx="7362827" cy="1414214"/>
        </a:xfrm>
      </xdr:grpSpPr>
      <xdr:grpSp>
        <xdr:nvGrpSpPr>
          <xdr:cNvPr id="56" name="RENTAL_TABLE_OF_CONTENTS">
            <a:extLst>
              <a:ext uri="{FF2B5EF4-FFF2-40B4-BE49-F238E27FC236}">
                <a16:creationId xmlns:a16="http://schemas.microsoft.com/office/drawing/2014/main" id="{00000000-0008-0000-0200-000038000000}"/>
              </a:ext>
            </a:extLst>
          </xdr:cNvPr>
          <xdr:cNvGrpSpPr/>
        </xdr:nvGrpSpPr>
        <xdr:grpSpPr>
          <a:xfrm>
            <a:off x="8191498" y="1276170"/>
            <a:ext cx="7362827" cy="1414214"/>
            <a:chOff x="8191498" y="1276170"/>
            <a:chExt cx="7362827" cy="1414214"/>
          </a:xfrm>
        </xdr:grpSpPr>
        <xdr:sp macro="" textlink="">
          <xdr:nvSpPr>
            <xdr:cNvPr id="61" name="TOC_HEADER_BG">
              <a:extLst>
                <a:ext uri="{FF2B5EF4-FFF2-40B4-BE49-F238E27FC236}">
                  <a16:creationId xmlns:a16="http://schemas.microsoft.com/office/drawing/2014/main" id="{00000000-0008-0000-0200-00003D000000}"/>
                </a:ext>
              </a:extLst>
            </xdr:cNvPr>
            <xdr:cNvSpPr/>
          </xdr:nvSpPr>
          <xdr:spPr>
            <a:xfrm>
              <a:off x="8191498" y="159225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grpSp>
          <xdr:nvGrpSpPr>
            <xdr:cNvPr id="62" name="TOC">
              <a:extLst>
                <a:ext uri="{FF2B5EF4-FFF2-40B4-BE49-F238E27FC236}">
                  <a16:creationId xmlns:a16="http://schemas.microsoft.com/office/drawing/2014/main" id="{00000000-0008-0000-0200-00003E000000}"/>
                </a:ext>
              </a:extLst>
            </xdr:cNvPr>
            <xdr:cNvGrpSpPr/>
          </xdr:nvGrpSpPr>
          <xdr:grpSpPr>
            <a:xfrm>
              <a:off x="8191500" y="1276170"/>
              <a:ext cx="7362825" cy="1414214"/>
              <a:chOff x="9239250" y="1816952"/>
              <a:chExt cx="7362825" cy="1090370"/>
            </a:xfrm>
            <a:effectLst/>
          </xdr:grpSpPr>
          <xdr:sp macro="" textlink="">
            <xdr:nvSpPr>
              <xdr:cNvPr id="67" name="Rectangle 66">
                <a:extLst>
                  <a:ext uri="{FF2B5EF4-FFF2-40B4-BE49-F238E27FC236}">
                    <a16:creationId xmlns:a16="http://schemas.microsoft.com/office/drawing/2014/main" id="{00000000-0008-0000-0200-000043000000}"/>
                  </a:ext>
                </a:extLst>
              </xdr:cNvPr>
              <xdr:cNvSpPr/>
            </xdr:nvSpPr>
            <xdr:spPr>
              <a:xfrm>
                <a:off x="9239250" y="2052093"/>
                <a:ext cx="7362825" cy="85522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68" name="Rectangle 67">
                <a:extLst>
                  <a:ext uri="{FF2B5EF4-FFF2-40B4-BE49-F238E27FC236}">
                    <a16:creationId xmlns:a16="http://schemas.microsoft.com/office/drawing/2014/main" id="{00000000-0008-0000-0200-000044000000}"/>
                  </a:ext>
                </a:extLst>
              </xdr:cNvPr>
              <xdr:cNvSpPr/>
            </xdr:nvSpPr>
            <xdr:spPr>
              <a:xfrm>
                <a:off x="9239250" y="1816952"/>
                <a:ext cx="7360920" cy="23726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Table of Contents</a:t>
                </a:r>
              </a:p>
            </xdr:txBody>
          </xdr:sp>
        </xdr:grpSp>
        <xdr:sp macro="" textlink="">
          <xdr:nvSpPr>
            <xdr:cNvPr id="63" name="TOC_HEADER_LABEL_1">
              <a:extLst>
                <a:ext uri="{FF2B5EF4-FFF2-40B4-BE49-F238E27FC236}">
                  <a16:creationId xmlns:a16="http://schemas.microsoft.com/office/drawing/2014/main" id="{00000000-0008-0000-0200-00003F000000}"/>
                </a:ext>
              </a:extLst>
            </xdr:cNvPr>
            <xdr:cNvSpPr txBox="1"/>
          </xdr:nvSpPr>
          <xdr:spPr>
            <a:xfrm>
              <a:off x="830202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64" name="TOC_HEADER_LABEL_1">
              <a:extLst>
                <a:ext uri="{FF2B5EF4-FFF2-40B4-BE49-F238E27FC236}">
                  <a16:creationId xmlns:a16="http://schemas.microsoft.com/office/drawing/2014/main" id="{00000000-0008-0000-0200-000040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sp macro="" textlink="">
          <xdr:nvSpPr>
            <xdr:cNvPr id="65" name="TOC_HEADER_LABEL_3">
              <a:extLst>
                <a:ext uri="{FF2B5EF4-FFF2-40B4-BE49-F238E27FC236}">
                  <a16:creationId xmlns:a16="http://schemas.microsoft.com/office/drawing/2014/main" id="{00000000-0008-0000-0200-000041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66" name="TOC_HEADER_LABEL_4">
              <a:extLst>
                <a:ext uri="{FF2B5EF4-FFF2-40B4-BE49-F238E27FC236}">
                  <a16:creationId xmlns:a16="http://schemas.microsoft.com/office/drawing/2014/main" id="{00000000-0008-0000-0200-000042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grpSp>
      <xdr:cxnSp macro="">
        <xdr:nvCxnSpPr>
          <xdr:cNvPr id="57" name="TOC_HEADER_VLINE">
            <a:extLst>
              <a:ext uri="{FF2B5EF4-FFF2-40B4-BE49-F238E27FC236}">
                <a16:creationId xmlns:a16="http://schemas.microsoft.com/office/drawing/2014/main" id="{00000000-0008-0000-0200-000039000000}"/>
              </a:ext>
            </a:extLst>
          </xdr:cNvPr>
          <xdr:cNvCxnSpPr>
            <a:endCxn id="67" idx="2"/>
          </xdr:cNvCxnSpPr>
        </xdr:nvCxnSpPr>
        <xdr:spPr>
          <a:xfrm>
            <a:off x="11871960" y="1596774"/>
            <a:ext cx="953" cy="1093609"/>
          </a:xfrm>
          <a:prstGeom prst="line">
            <a:avLst/>
          </a:prstGeom>
          <a:ln>
            <a:solidFill>
              <a:schemeClr val="bg1">
                <a:lumMod val="8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nvGrpSpPr>
          <xdr:cNvPr id="58" name="TOC_HORIZONTAL_DIVIDERS">
            <a:extLst>
              <a:ext uri="{FF2B5EF4-FFF2-40B4-BE49-F238E27FC236}">
                <a16:creationId xmlns:a16="http://schemas.microsoft.com/office/drawing/2014/main" id="{00000000-0008-0000-0200-00003A000000}"/>
              </a:ext>
            </a:extLst>
          </xdr:cNvPr>
          <xdr:cNvGrpSpPr/>
        </xdr:nvGrpSpPr>
        <xdr:grpSpPr>
          <a:xfrm>
            <a:off x="8191498" y="2143319"/>
            <a:ext cx="7362825" cy="276504"/>
            <a:chOff x="8191498" y="2143319"/>
            <a:chExt cx="7362825" cy="276504"/>
          </a:xfrm>
        </xdr:grpSpPr>
        <xdr:cxnSp macro="">
          <xdr:nvCxnSpPr>
            <xdr:cNvPr id="59" name="DOTTED_LINE">
              <a:extLst>
                <a:ext uri="{FF2B5EF4-FFF2-40B4-BE49-F238E27FC236}">
                  <a16:creationId xmlns:a16="http://schemas.microsoft.com/office/drawing/2014/main" id="{00000000-0008-0000-0200-00003B000000}"/>
                </a:ext>
              </a:extLst>
            </xdr:cNvPr>
            <xdr:cNvCxnSpPr/>
          </xdr:nvCxnSpPr>
          <xdr:spPr>
            <a:xfrm flipH="1">
              <a:off x="8191498" y="2143319"/>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60" name="DOTTED_LINE">
              <a:extLst>
                <a:ext uri="{FF2B5EF4-FFF2-40B4-BE49-F238E27FC236}">
                  <a16:creationId xmlns:a16="http://schemas.microsoft.com/office/drawing/2014/main" id="{00000000-0008-0000-0200-00003C000000}"/>
                </a:ext>
              </a:extLst>
            </xdr:cNvPr>
            <xdr:cNvCxnSpPr/>
          </xdr:nvCxnSpPr>
          <xdr:spPr>
            <a:xfrm flipH="1">
              <a:off x="8191498" y="241982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14</xdr:col>
      <xdr:colOff>457200</xdr:colOff>
      <xdr:row>33</xdr:row>
      <xdr:rowOff>142875</xdr:rowOff>
    </xdr:from>
    <xdr:to>
      <xdr:col>19</xdr:col>
      <xdr:colOff>104775</xdr:colOff>
      <xdr:row>33</xdr:row>
      <xdr:rowOff>142875</xdr:rowOff>
    </xdr:to>
    <xdr:cxnSp macro="">
      <xdr:nvCxnSpPr>
        <xdr:cNvPr id="73" name="DOTTED_LINE">
          <a:extLst>
            <a:ext uri="{FF2B5EF4-FFF2-40B4-BE49-F238E27FC236}">
              <a16:creationId xmlns:a16="http://schemas.microsoft.com/office/drawing/2014/main" id="{00000000-0008-0000-0200-000049000000}"/>
            </a:ext>
          </a:extLst>
        </xdr:cNvPr>
        <xdr:cNvCxnSpPr/>
      </xdr:nvCxnSpPr>
      <xdr:spPr>
        <a:xfrm>
          <a:off x="3305175" y="10182225"/>
          <a:ext cx="2152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85725</xdr:colOff>
      <xdr:row>34</xdr:row>
      <xdr:rowOff>142875</xdr:rowOff>
    </xdr:from>
    <xdr:to>
      <xdr:col>19</xdr:col>
      <xdr:colOff>104775</xdr:colOff>
      <xdr:row>34</xdr:row>
      <xdr:rowOff>142875</xdr:rowOff>
    </xdr:to>
    <xdr:cxnSp macro="">
      <xdr:nvCxnSpPr>
        <xdr:cNvPr id="74" name="DOTTED_LINE">
          <a:extLst>
            <a:ext uri="{FF2B5EF4-FFF2-40B4-BE49-F238E27FC236}">
              <a16:creationId xmlns:a16="http://schemas.microsoft.com/office/drawing/2014/main" id="{00000000-0008-0000-0200-00004A000000}"/>
            </a:ext>
          </a:extLst>
        </xdr:cNvPr>
        <xdr:cNvCxnSpPr/>
      </xdr:nvCxnSpPr>
      <xdr:spPr>
        <a:xfrm>
          <a:off x="11953875" y="10458450"/>
          <a:ext cx="1628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35</xdr:row>
      <xdr:rowOff>152400</xdr:rowOff>
    </xdr:from>
    <xdr:to>
      <xdr:col>19</xdr:col>
      <xdr:colOff>104775</xdr:colOff>
      <xdr:row>35</xdr:row>
      <xdr:rowOff>152400</xdr:rowOff>
    </xdr:to>
    <xdr:cxnSp macro="">
      <xdr:nvCxnSpPr>
        <xdr:cNvPr id="75" name="DOTTED_LINE">
          <a:extLst>
            <a:ext uri="{FF2B5EF4-FFF2-40B4-BE49-F238E27FC236}">
              <a16:creationId xmlns:a16="http://schemas.microsoft.com/office/drawing/2014/main" id="{00000000-0008-0000-0200-00004B000000}"/>
            </a:ext>
          </a:extLst>
        </xdr:cNvPr>
        <xdr:cNvCxnSpPr/>
      </xdr:nvCxnSpPr>
      <xdr:spPr>
        <a:xfrm>
          <a:off x="2095500" y="10744200"/>
          <a:ext cx="3362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38</xdr:row>
      <xdr:rowOff>152400</xdr:rowOff>
    </xdr:from>
    <xdr:to>
      <xdr:col>21</xdr:col>
      <xdr:colOff>104775</xdr:colOff>
      <xdr:row>38</xdr:row>
      <xdr:rowOff>152400</xdr:rowOff>
    </xdr:to>
    <xdr:cxnSp macro="">
      <xdr:nvCxnSpPr>
        <xdr:cNvPr id="76" name="DOTTED_LINE">
          <a:extLst>
            <a:ext uri="{FF2B5EF4-FFF2-40B4-BE49-F238E27FC236}">
              <a16:creationId xmlns:a16="http://schemas.microsoft.com/office/drawing/2014/main" id="{00000000-0008-0000-0200-00004C000000}"/>
            </a:ext>
          </a:extLst>
        </xdr:cNvPr>
        <xdr:cNvCxnSpPr/>
      </xdr:nvCxnSpPr>
      <xdr:spPr>
        <a:xfrm>
          <a:off x="5391150" y="17926050"/>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49</xdr:row>
      <xdr:rowOff>142875</xdr:rowOff>
    </xdr:from>
    <xdr:to>
      <xdr:col>21</xdr:col>
      <xdr:colOff>133350</xdr:colOff>
      <xdr:row>49</xdr:row>
      <xdr:rowOff>142875</xdr:rowOff>
    </xdr:to>
    <xdr:cxnSp macro="">
      <xdr:nvCxnSpPr>
        <xdr:cNvPr id="77" name="DOTTED_LINE">
          <a:extLst>
            <a:ext uri="{FF2B5EF4-FFF2-40B4-BE49-F238E27FC236}">
              <a16:creationId xmlns:a16="http://schemas.microsoft.com/office/drawing/2014/main" id="{00000000-0008-0000-0200-00004D000000}"/>
            </a:ext>
          </a:extLst>
        </xdr:cNvPr>
        <xdr:cNvCxnSpPr/>
      </xdr:nvCxnSpPr>
      <xdr:spPr>
        <a:xfrm>
          <a:off x="466725" y="13496925"/>
          <a:ext cx="5915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304800</xdr:colOff>
      <xdr:row>50</xdr:row>
      <xdr:rowOff>152400</xdr:rowOff>
    </xdr:from>
    <xdr:to>
      <xdr:col>21</xdr:col>
      <xdr:colOff>123825</xdr:colOff>
      <xdr:row>50</xdr:row>
      <xdr:rowOff>152400</xdr:rowOff>
    </xdr:to>
    <xdr:cxnSp macro="">
      <xdr:nvCxnSpPr>
        <xdr:cNvPr id="78" name="DOTTED_LINE">
          <a:extLst>
            <a:ext uri="{FF2B5EF4-FFF2-40B4-BE49-F238E27FC236}">
              <a16:creationId xmlns:a16="http://schemas.microsoft.com/office/drawing/2014/main" id="{00000000-0008-0000-0200-00004E000000}"/>
            </a:ext>
          </a:extLst>
        </xdr:cNvPr>
        <xdr:cNvCxnSpPr/>
      </xdr:nvCxnSpPr>
      <xdr:spPr>
        <a:xfrm>
          <a:off x="2257425" y="13782675"/>
          <a:ext cx="41148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xdr:colOff>
      <xdr:row>51</xdr:row>
      <xdr:rowOff>152400</xdr:rowOff>
    </xdr:from>
    <xdr:to>
      <xdr:col>21</xdr:col>
      <xdr:colOff>123825</xdr:colOff>
      <xdr:row>51</xdr:row>
      <xdr:rowOff>152400</xdr:rowOff>
    </xdr:to>
    <xdr:cxnSp macro="">
      <xdr:nvCxnSpPr>
        <xdr:cNvPr id="80" name="DOTTED_LINE">
          <a:extLst>
            <a:ext uri="{FF2B5EF4-FFF2-40B4-BE49-F238E27FC236}">
              <a16:creationId xmlns:a16="http://schemas.microsoft.com/office/drawing/2014/main" id="{00000000-0008-0000-0200-000050000000}"/>
            </a:ext>
          </a:extLst>
        </xdr:cNvPr>
        <xdr:cNvCxnSpPr/>
      </xdr:nvCxnSpPr>
      <xdr:spPr>
        <a:xfrm>
          <a:off x="1800225" y="14058900"/>
          <a:ext cx="45720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361950</xdr:colOff>
      <xdr:row>60</xdr:row>
      <xdr:rowOff>152400</xdr:rowOff>
    </xdr:from>
    <xdr:to>
      <xdr:col>19</xdr:col>
      <xdr:colOff>114300</xdr:colOff>
      <xdr:row>60</xdr:row>
      <xdr:rowOff>152400</xdr:rowOff>
    </xdr:to>
    <xdr:cxnSp macro="">
      <xdr:nvCxnSpPr>
        <xdr:cNvPr id="81" name="DOTTED_LINE">
          <a:extLst>
            <a:ext uri="{FF2B5EF4-FFF2-40B4-BE49-F238E27FC236}">
              <a16:creationId xmlns:a16="http://schemas.microsoft.com/office/drawing/2014/main" id="{00000000-0008-0000-0200-000051000000}"/>
            </a:ext>
          </a:extLst>
        </xdr:cNvPr>
        <xdr:cNvCxnSpPr/>
      </xdr:nvCxnSpPr>
      <xdr:spPr>
        <a:xfrm>
          <a:off x="9544050" y="16544925"/>
          <a:ext cx="4048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209550</xdr:colOff>
      <xdr:row>61</xdr:row>
      <xdr:rowOff>152400</xdr:rowOff>
    </xdr:from>
    <xdr:to>
      <xdr:col>19</xdr:col>
      <xdr:colOff>114300</xdr:colOff>
      <xdr:row>61</xdr:row>
      <xdr:rowOff>152400</xdr:rowOff>
    </xdr:to>
    <xdr:cxnSp macro="">
      <xdr:nvCxnSpPr>
        <xdr:cNvPr id="82" name="DOTTED_LINE">
          <a:extLst>
            <a:ext uri="{FF2B5EF4-FFF2-40B4-BE49-F238E27FC236}">
              <a16:creationId xmlns:a16="http://schemas.microsoft.com/office/drawing/2014/main" id="{00000000-0008-0000-0200-000052000000}"/>
            </a:ext>
          </a:extLst>
        </xdr:cNvPr>
        <xdr:cNvCxnSpPr/>
      </xdr:nvCxnSpPr>
      <xdr:spPr>
        <a:xfrm>
          <a:off x="10287000" y="16821150"/>
          <a:ext cx="3305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123825</xdr:colOff>
      <xdr:row>65</xdr:row>
      <xdr:rowOff>152400</xdr:rowOff>
    </xdr:from>
    <xdr:to>
      <xdr:col>21</xdr:col>
      <xdr:colOff>104775</xdr:colOff>
      <xdr:row>65</xdr:row>
      <xdr:rowOff>152400</xdr:rowOff>
    </xdr:to>
    <xdr:cxnSp macro="">
      <xdr:nvCxnSpPr>
        <xdr:cNvPr id="86" name="DOTTED_LINE">
          <a:extLst>
            <a:ext uri="{FF2B5EF4-FFF2-40B4-BE49-F238E27FC236}">
              <a16:creationId xmlns:a16="http://schemas.microsoft.com/office/drawing/2014/main" id="{00000000-0008-0000-0200-000056000000}"/>
            </a:ext>
          </a:extLst>
        </xdr:cNvPr>
        <xdr:cNvCxnSpPr/>
      </xdr:nvCxnSpPr>
      <xdr:spPr>
        <a:xfrm>
          <a:off x="11096625" y="17926050"/>
          <a:ext cx="3381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161925</xdr:colOff>
      <xdr:row>79</xdr:row>
      <xdr:rowOff>152400</xdr:rowOff>
    </xdr:from>
    <xdr:to>
      <xdr:col>21</xdr:col>
      <xdr:colOff>104775</xdr:colOff>
      <xdr:row>79</xdr:row>
      <xdr:rowOff>152400</xdr:rowOff>
    </xdr:to>
    <xdr:cxnSp macro="">
      <xdr:nvCxnSpPr>
        <xdr:cNvPr id="88" name="DOTTED_LINE">
          <a:extLst>
            <a:ext uri="{FF2B5EF4-FFF2-40B4-BE49-F238E27FC236}">
              <a16:creationId xmlns:a16="http://schemas.microsoft.com/office/drawing/2014/main" id="{00000000-0008-0000-0200-000058000000}"/>
            </a:ext>
          </a:extLst>
        </xdr:cNvPr>
        <xdr:cNvCxnSpPr/>
      </xdr:nvCxnSpPr>
      <xdr:spPr>
        <a:xfrm>
          <a:off x="3724275" y="21793200"/>
          <a:ext cx="26289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276225</xdr:colOff>
      <xdr:row>73</xdr:row>
      <xdr:rowOff>152400</xdr:rowOff>
    </xdr:from>
    <xdr:to>
      <xdr:col>21</xdr:col>
      <xdr:colOff>104775</xdr:colOff>
      <xdr:row>73</xdr:row>
      <xdr:rowOff>152400</xdr:rowOff>
    </xdr:to>
    <xdr:cxnSp macro="">
      <xdr:nvCxnSpPr>
        <xdr:cNvPr id="92" name="DOTTED_LINE">
          <a:extLst>
            <a:ext uri="{FF2B5EF4-FFF2-40B4-BE49-F238E27FC236}">
              <a16:creationId xmlns:a16="http://schemas.microsoft.com/office/drawing/2014/main" id="{00000000-0008-0000-0200-00005C000000}"/>
            </a:ext>
          </a:extLst>
        </xdr:cNvPr>
        <xdr:cNvCxnSpPr/>
      </xdr:nvCxnSpPr>
      <xdr:spPr>
        <a:xfrm>
          <a:off x="11249025" y="20135850"/>
          <a:ext cx="32289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66675</xdr:colOff>
      <xdr:row>86</xdr:row>
      <xdr:rowOff>247650</xdr:rowOff>
    </xdr:from>
    <xdr:to>
      <xdr:col>24</xdr:col>
      <xdr:colOff>104775</xdr:colOff>
      <xdr:row>119</xdr:row>
      <xdr:rowOff>95248</xdr:rowOff>
    </xdr:to>
    <xdr:grpSp>
      <xdr:nvGrpSpPr>
        <xdr:cNvPr id="83" name="Group 82">
          <a:extLst>
            <a:ext uri="{FF2B5EF4-FFF2-40B4-BE49-F238E27FC236}">
              <a16:creationId xmlns:a16="http://schemas.microsoft.com/office/drawing/2014/main" id="{00000000-0008-0000-0200-000053000000}"/>
            </a:ext>
          </a:extLst>
        </xdr:cNvPr>
        <xdr:cNvGrpSpPr/>
      </xdr:nvGrpSpPr>
      <xdr:grpSpPr>
        <a:xfrm>
          <a:off x="66675" y="23822025"/>
          <a:ext cx="7362825" cy="8963023"/>
          <a:chOff x="8191500" y="18297525"/>
          <a:chExt cx="7362825" cy="8963023"/>
        </a:xfrm>
      </xdr:grpSpPr>
      <xdr:grpSp>
        <xdr:nvGrpSpPr>
          <xdr:cNvPr id="84" name="RENTAL_5">
            <a:extLst>
              <a:ext uri="{FF2B5EF4-FFF2-40B4-BE49-F238E27FC236}">
                <a16:creationId xmlns:a16="http://schemas.microsoft.com/office/drawing/2014/main" id="{00000000-0008-0000-0200-000054000000}"/>
              </a:ext>
            </a:extLst>
          </xdr:cNvPr>
          <xdr:cNvGrpSpPr/>
        </xdr:nvGrpSpPr>
        <xdr:grpSpPr>
          <a:xfrm>
            <a:off x="8191500" y="18297526"/>
            <a:ext cx="7362825" cy="8963022"/>
            <a:chOff x="9363075" y="17297252"/>
            <a:chExt cx="7362825" cy="9186135"/>
          </a:xfrm>
        </xdr:grpSpPr>
        <xdr:sp macro="" textlink="">
          <xdr:nvSpPr>
            <xdr:cNvPr id="87" name="RENTAL_5_SECTION_FRAME">
              <a:extLst>
                <a:ext uri="{FF2B5EF4-FFF2-40B4-BE49-F238E27FC236}">
                  <a16:creationId xmlns:a16="http://schemas.microsoft.com/office/drawing/2014/main" id="{00000000-0008-0000-0200-000057000000}"/>
                </a:ext>
              </a:extLst>
            </xdr:cNvPr>
            <xdr:cNvSpPr/>
          </xdr:nvSpPr>
          <xdr:spPr>
            <a:xfrm>
              <a:off x="9363075" y="17617604"/>
              <a:ext cx="7362825" cy="8865783"/>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13">
          <xdr:nvSpPr>
            <xdr:cNvPr id="89" name="RENTAL_5_SECTION_TITLE">
              <a:extLst>
                <a:ext uri="{FF2B5EF4-FFF2-40B4-BE49-F238E27FC236}">
                  <a16:creationId xmlns:a16="http://schemas.microsoft.com/office/drawing/2014/main" id="{00000000-0008-0000-0200-000059000000}"/>
                </a:ext>
              </a:extLst>
            </xdr:cNvPr>
            <xdr:cNvSpPr/>
          </xdr:nvSpPr>
          <xdr:spPr>
            <a:xfrm>
              <a:off x="9363075" y="17297252"/>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3DCC70B4-8752-4930-A059-3BE28E7B735D}" type="TxLink">
                <a:rPr lang="en-US" sz="1100" b="1" i="0" u="none" strike="noStrike">
                  <a:solidFill>
                    <a:srgbClr val="FFFFFF"/>
                  </a:solidFill>
                  <a:latin typeface="Calibri"/>
                  <a:cs typeface="Calibri"/>
                </a:rPr>
                <a:pPr algn="l"/>
                <a:t>Member Certification</a:t>
              </a:fld>
              <a:endParaRPr lang="en-US" sz="1100" b="1" i="0" u="none" strike="noStrike">
                <a:solidFill>
                  <a:schemeClr val="bg1"/>
                </a:solidFill>
                <a:latin typeface="Calibri"/>
              </a:endParaRPr>
            </a:p>
          </xdr:txBody>
        </xdr:sp>
        <xdr:sp macro="" textlink="$B$124">
          <xdr:nvSpPr>
            <xdr:cNvPr id="90" name="RENTAL_5_SECTION_SUBTITLE">
              <a:extLst>
                <a:ext uri="{FF2B5EF4-FFF2-40B4-BE49-F238E27FC236}">
                  <a16:creationId xmlns:a16="http://schemas.microsoft.com/office/drawing/2014/main" id="{00000000-0008-0000-0200-00005A000000}"/>
                </a:ext>
              </a:extLst>
            </xdr:cNvPr>
            <xdr:cNvSpPr/>
          </xdr:nvSpPr>
          <xdr:spPr>
            <a:xfrm>
              <a:off x="9372598" y="17621098"/>
              <a:ext cx="7351776" cy="27855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69A48C51-483E-44C7-83B3-91C8F5CA2BC0}" type="TxLink">
                <a:rPr lang="en-US" sz="900" b="0" i="0" u="none" strike="noStrike">
                  <a:solidFill>
                    <a:srgbClr val="000000"/>
                  </a:solidFill>
                  <a:latin typeface="Calibri"/>
                  <a:cs typeface="Calibri"/>
                </a:rPr>
                <a:pPr algn="l"/>
                <a:t>Not Started</a:t>
              </a:fld>
              <a:endParaRPr lang="en-US" sz="1100" i="0"/>
            </a:p>
          </xdr:txBody>
        </xdr:sp>
        <xdr:sp macro="" textlink="">
          <xdr:nvSpPr>
            <xdr:cNvPr id="91" name="RENTAL_5_SECTION_SUBTITLE_LABEL">
              <a:extLst>
                <a:ext uri="{FF2B5EF4-FFF2-40B4-BE49-F238E27FC236}">
                  <a16:creationId xmlns:a16="http://schemas.microsoft.com/office/drawing/2014/main" id="{00000000-0008-0000-0200-00005B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85" name="LINK_RENTAL_TOC">
            <a:hlinkClick xmlns:r="http://schemas.openxmlformats.org/officeDocument/2006/relationships" r:id="rId6"/>
            <a:extLst>
              <a:ext uri="{FF2B5EF4-FFF2-40B4-BE49-F238E27FC236}">
                <a16:creationId xmlns:a16="http://schemas.microsoft.com/office/drawing/2014/main" id="{00000000-0008-0000-0200-000055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oneCellAnchor>
    <xdr:from>
      <xdr:col>16</xdr:col>
      <xdr:colOff>295275</xdr:colOff>
      <xdr:row>18</xdr:row>
      <xdr:rowOff>9525</xdr:rowOff>
    </xdr:from>
    <xdr:ext cx="2200275" cy="264560"/>
    <xdr:sp macro="" textlink="$B$126">
      <xdr:nvSpPr>
        <xdr:cNvPr id="93" name="TOC_SECTION_10">
          <a:hlinkClick xmlns:r="http://schemas.openxmlformats.org/officeDocument/2006/relationships" r:id="rId8"/>
          <a:extLst>
            <a:ext uri="{FF2B5EF4-FFF2-40B4-BE49-F238E27FC236}">
              <a16:creationId xmlns:a16="http://schemas.microsoft.com/office/drawing/2014/main" id="{00000000-0008-0000-0200-00005D000000}"/>
            </a:ext>
          </a:extLst>
        </xdr:cNvPr>
        <xdr:cNvSpPr txBox="1"/>
      </xdr:nvSpPr>
      <xdr:spPr>
        <a:xfrm>
          <a:off x="12163425"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499D75FF-2498-41B5-BB99-BB1A59806023}" type="TxLink">
            <a:rPr lang="en-US" sz="1000" b="1" i="0" u="sng" strike="noStrike">
              <a:solidFill>
                <a:schemeClr val="accent1">
                  <a:lumMod val="75000"/>
                </a:schemeClr>
              </a:solidFill>
              <a:latin typeface="Calibri"/>
              <a:ea typeface="+mn-ea"/>
              <a:cs typeface="Calibri"/>
            </a:rPr>
            <a:pPr marL="0" indent="0" algn="l"/>
            <a:t>Member Certification</a:t>
          </a:fld>
          <a:endParaRPr lang="en-US" sz="1000" b="1" i="0" u="sng" strike="noStrike">
            <a:solidFill>
              <a:schemeClr val="accent1">
                <a:lumMod val="75000"/>
              </a:schemeClr>
            </a:solidFill>
            <a:latin typeface="Calibri"/>
            <a:ea typeface="+mn-ea"/>
            <a:cs typeface="Calibri"/>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8</xdr:col>
      <xdr:colOff>200024</xdr:colOff>
      <xdr:row>16</xdr:row>
      <xdr:rowOff>9525</xdr:rowOff>
    </xdr:from>
    <xdr:ext cx="2295525" cy="264560"/>
    <xdr:sp macro="" textlink="$B$27">
      <xdr:nvSpPr>
        <xdr:cNvPr id="3" name="TOC_SECTION_1">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8486774" y="42481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DA03C1FA-CA01-4B00-9243-F0FEF1FEBC7E}" type="TxLink">
            <a:rPr lang="en-US" sz="1000" b="1" i="0" u="sng" strike="noStrike">
              <a:solidFill>
                <a:schemeClr val="accent1">
                  <a:lumMod val="75000"/>
                </a:schemeClr>
              </a:solidFill>
              <a:latin typeface="Calibri"/>
              <a:ea typeface="+mn-ea"/>
              <a:cs typeface="Calibri"/>
            </a:rPr>
            <a:pPr marL="0" indent="0" algn="l"/>
            <a:t>FHLBNY Member</a:t>
          </a:fld>
          <a:endParaRPr lang="en-US" sz="1000" b="1" i="0" u="sng" strike="noStrike">
            <a:solidFill>
              <a:schemeClr val="accent1">
                <a:lumMod val="75000"/>
              </a:schemeClr>
            </a:solidFill>
            <a:latin typeface="Calibri"/>
            <a:ea typeface="+mn-ea"/>
            <a:cs typeface="Calibri"/>
          </a:endParaRPr>
        </a:p>
      </xdr:txBody>
    </xdr:sp>
    <xdr:clientData fPrintsWithSheet="0"/>
  </xdr:oneCellAnchor>
  <xdr:oneCellAnchor>
    <xdr:from>
      <xdr:col>16</xdr:col>
      <xdr:colOff>295275</xdr:colOff>
      <xdr:row>16</xdr:row>
      <xdr:rowOff>9525</xdr:rowOff>
    </xdr:from>
    <xdr:ext cx="2200275" cy="264560"/>
    <xdr:sp macro="" textlink="$B$69">
      <xdr:nvSpPr>
        <xdr:cNvPr id="6" name="TOC_SECTION_9">
          <a:hlinkClick xmlns:r="http://schemas.openxmlformats.org/officeDocument/2006/relationships" r:id="rId2"/>
          <a:extLst>
            <a:ext uri="{FF2B5EF4-FFF2-40B4-BE49-F238E27FC236}">
              <a16:creationId xmlns:a16="http://schemas.microsoft.com/office/drawing/2014/main" id="{00000000-0008-0000-0300-000006000000}"/>
            </a:ext>
          </a:extLst>
        </xdr:cNvPr>
        <xdr:cNvSpPr txBox="1"/>
      </xdr:nvSpPr>
      <xdr:spPr>
        <a:xfrm>
          <a:off x="4038600" y="4248150"/>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E9FE7D1D-73D2-4596-9122-036E6D096E77}" type="TxLink">
            <a:rPr lang="en-US" sz="1000" b="1" i="0" u="sng" strike="noStrike">
              <a:solidFill>
                <a:schemeClr val="accent1">
                  <a:lumMod val="75000"/>
                </a:schemeClr>
              </a:solidFill>
              <a:latin typeface="Calibri"/>
              <a:ea typeface="+mn-ea"/>
              <a:cs typeface="Calibri"/>
            </a:rPr>
            <a:pPr marL="0" indent="0" algn="l"/>
            <a:t>Member Certification</a:t>
          </a:fld>
          <a:endParaRPr lang="en-US" sz="1000" b="1" i="0" u="sng" strike="noStrike">
            <a:solidFill>
              <a:schemeClr val="accent1">
                <a:lumMod val="75000"/>
              </a:schemeClr>
            </a:solidFill>
            <a:latin typeface="Calibri"/>
            <a:ea typeface="+mn-ea"/>
            <a:cs typeface="Calibri"/>
          </a:endParaRPr>
        </a:p>
      </xdr:txBody>
    </xdr:sp>
    <xdr:clientData fPrintsWithSheet="0"/>
  </xdr:oneCellAnchor>
  <xdr:twoCellAnchor editAs="absolute">
    <xdr:from>
      <xdr:col>16384</xdr:col>
      <xdr:colOff>613928</xdr:colOff>
      <xdr:row>13</xdr:row>
      <xdr:rowOff>180975</xdr:rowOff>
    </xdr:from>
    <xdr:to>
      <xdr:col>16384</xdr:col>
      <xdr:colOff>613928</xdr:colOff>
      <xdr:row>15</xdr:row>
      <xdr:rowOff>228600</xdr:rowOff>
    </xdr:to>
    <xdr:sp macro="" textlink="">
      <xdr:nvSpPr>
        <xdr:cNvPr id="7" name="COVER_CELLS_01">
          <a:extLst>
            <a:ext uri="{FF2B5EF4-FFF2-40B4-BE49-F238E27FC236}">
              <a16:creationId xmlns:a16="http://schemas.microsoft.com/office/drawing/2014/main" id="{00000000-0008-0000-0300-000007000000}"/>
            </a:ext>
          </a:extLst>
        </xdr:cNvPr>
        <xdr:cNvSpPr/>
      </xdr:nvSpPr>
      <xdr:spPr>
        <a:xfrm>
          <a:off x="8100578"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twoCellAnchor>
    <xdr:from>
      <xdr:col>7</xdr:col>
      <xdr:colOff>24775</xdr:colOff>
      <xdr:row>90</xdr:row>
      <xdr:rowOff>228647</xdr:rowOff>
    </xdr:from>
    <xdr:to>
      <xdr:col>24</xdr:col>
      <xdr:colOff>152399</xdr:colOff>
      <xdr:row>91</xdr:row>
      <xdr:rowOff>263320</xdr:rowOff>
    </xdr:to>
    <xdr:grpSp>
      <xdr:nvGrpSpPr>
        <xdr:cNvPr id="8" name="Group 7">
          <a:extLst>
            <a:ext uri="{FF2B5EF4-FFF2-40B4-BE49-F238E27FC236}">
              <a16:creationId xmlns:a16="http://schemas.microsoft.com/office/drawing/2014/main" id="{00000000-0008-0000-0300-000008000000}"/>
            </a:ext>
          </a:extLst>
        </xdr:cNvPr>
        <xdr:cNvGrpSpPr/>
      </xdr:nvGrpSpPr>
      <xdr:grpSpPr>
        <a:xfrm>
          <a:off x="24775" y="24907922"/>
          <a:ext cx="7452349" cy="310898"/>
          <a:chOff x="9296399" y="16259174"/>
          <a:chExt cx="7452359" cy="269487"/>
        </a:xfrm>
      </xdr:grpSpPr>
      <xdr:sp macro="" textlink="CONFIG_EFORM_DOC_ID_NAME">
        <xdr:nvSpPr>
          <xdr:cNvPr id="9" name="FOOTER_BG">
            <a:extLst>
              <a:ext uri="{FF2B5EF4-FFF2-40B4-BE49-F238E27FC236}">
                <a16:creationId xmlns:a16="http://schemas.microsoft.com/office/drawing/2014/main" id="{00000000-0008-0000-0300-000009000000}"/>
              </a:ext>
            </a:extLst>
          </xdr:cNvPr>
          <xdr:cNvSpPr/>
        </xdr:nvSpPr>
        <xdr:spPr>
          <a:xfrm>
            <a:off x="9296399" y="16259174"/>
            <a:ext cx="7452359" cy="269486"/>
          </a:xfrm>
          <a:prstGeom prst="rect">
            <a:avLst/>
          </a:prstGeom>
          <a:solidFill>
            <a:srgbClr val="00305E"/>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fld id="{318D66D7-35C3-43A5-9A89-905D240885C5}" type="TxLink">
              <a:rPr lang="en-US" sz="1000" b="1" i="0" u="none" strike="noStrike">
                <a:solidFill>
                  <a:schemeClr val="bg1"/>
                </a:solidFill>
                <a:latin typeface="+mn-lt"/>
                <a:ea typeface="+mn-ea"/>
                <a:cs typeface="Calibri"/>
              </a:rPr>
              <a:pPr marL="0" marR="0" indent="0" algn="r" defTabSz="914400" eaLnBrk="1" fontAlgn="auto" latinLnBrk="0" hangingPunct="1">
                <a:lnSpc>
                  <a:spcPct val="100000"/>
                </a:lnSpc>
                <a:spcBef>
                  <a:spcPts val="0"/>
                </a:spcBef>
                <a:spcAft>
                  <a:spcPts val="0"/>
                </a:spcAft>
                <a:buClrTx/>
                <a:buSzTx/>
                <a:buFontTx/>
                <a:buNone/>
                <a:tabLst/>
                <a:defRPr/>
              </a:pPr>
              <a:t>HDP-005: Homebuyer Dream Program Request Form</a:t>
            </a:fld>
            <a:endParaRPr lang="en-US" sz="1000" b="1">
              <a:solidFill>
                <a:schemeClr val="bg1"/>
              </a:solidFill>
              <a:latin typeface="+mn-lt"/>
            </a:endParaRPr>
          </a:p>
        </xdr:txBody>
      </xdr:sp>
      <xdr:sp macro="" textlink="">
        <xdr:nvSpPr>
          <xdr:cNvPr id="10" name="FOOTER_LINK_PAGETOP">
            <a:hlinkClick xmlns:r="http://schemas.openxmlformats.org/officeDocument/2006/relationships" r:id="rId3"/>
            <a:extLst>
              <a:ext uri="{FF2B5EF4-FFF2-40B4-BE49-F238E27FC236}">
                <a16:creationId xmlns:a16="http://schemas.microsoft.com/office/drawing/2014/main" id="{00000000-0008-0000-0300-00000A000000}"/>
              </a:ext>
            </a:extLst>
          </xdr:cNvPr>
          <xdr:cNvSpPr/>
        </xdr:nvSpPr>
        <xdr:spPr>
          <a:xfrm>
            <a:off x="9296399" y="16259175"/>
            <a:ext cx="1126715" cy="2694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u="none">
                <a:solidFill>
                  <a:schemeClr val="bg1"/>
                </a:solidFill>
                <a:latin typeface="+mn-lt"/>
              </a:rPr>
              <a:t>^ Back to Top</a:t>
            </a:r>
          </a:p>
        </xdr:txBody>
      </xdr:sp>
    </xdr:grpSp>
    <xdr:clientData fPrintsWithSheet="0"/>
  </xdr:twoCellAnchor>
  <xdr:oneCellAnchor>
    <xdr:from>
      <xdr:col>12</xdr:col>
      <xdr:colOff>1076325</xdr:colOff>
      <xdr:row>12</xdr:row>
      <xdr:rowOff>0</xdr:rowOff>
    </xdr:from>
    <xdr:ext cx="184731" cy="264560"/>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26670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7</xdr:col>
      <xdr:colOff>66675</xdr:colOff>
      <xdr:row>18</xdr:row>
      <xdr:rowOff>180974</xdr:rowOff>
    </xdr:from>
    <xdr:to>
      <xdr:col>24</xdr:col>
      <xdr:colOff>104776</xdr:colOff>
      <xdr:row>23</xdr:row>
      <xdr:rowOff>95247</xdr:rowOff>
    </xdr:to>
    <xdr:grpSp>
      <xdr:nvGrpSpPr>
        <xdr:cNvPr id="15" name="Group 14">
          <a:extLst>
            <a:ext uri="{FF2B5EF4-FFF2-40B4-BE49-F238E27FC236}">
              <a16:creationId xmlns:a16="http://schemas.microsoft.com/office/drawing/2014/main" id="{00000000-0008-0000-0300-00000F000000}"/>
            </a:ext>
          </a:extLst>
        </xdr:cNvPr>
        <xdr:cNvGrpSpPr/>
      </xdr:nvGrpSpPr>
      <xdr:grpSpPr>
        <a:xfrm>
          <a:off x="66675" y="4972049"/>
          <a:ext cx="7362826" cy="1295398"/>
          <a:chOff x="8191500" y="5295900"/>
          <a:chExt cx="7362826" cy="1172027"/>
        </a:xfrm>
      </xdr:grpSpPr>
      <xdr:grpSp>
        <xdr:nvGrpSpPr>
          <xdr:cNvPr id="16" name="RENTAL_1">
            <a:extLst>
              <a:ext uri="{FF2B5EF4-FFF2-40B4-BE49-F238E27FC236}">
                <a16:creationId xmlns:a16="http://schemas.microsoft.com/office/drawing/2014/main" id="{00000000-0008-0000-0300-000010000000}"/>
              </a:ext>
            </a:extLst>
          </xdr:cNvPr>
          <xdr:cNvGrpSpPr/>
        </xdr:nvGrpSpPr>
        <xdr:grpSpPr>
          <a:xfrm>
            <a:off x="8191500" y="5295901"/>
            <a:ext cx="7362825" cy="1172026"/>
            <a:chOff x="8191500" y="4057651"/>
            <a:chExt cx="7362825" cy="1172026"/>
          </a:xfrm>
        </xdr:grpSpPr>
        <xdr:sp macro="" textlink="">
          <xdr:nvSpPr>
            <xdr:cNvPr id="18" name="RENTAL_1_SECTION_FRAME">
              <a:extLst>
                <a:ext uri="{FF2B5EF4-FFF2-40B4-BE49-F238E27FC236}">
                  <a16:creationId xmlns:a16="http://schemas.microsoft.com/office/drawing/2014/main" id="{00000000-0008-0000-0300-000012000000}"/>
                </a:ext>
              </a:extLst>
            </xdr:cNvPr>
            <xdr:cNvSpPr/>
          </xdr:nvSpPr>
          <xdr:spPr>
            <a:xfrm>
              <a:off x="8191500" y="4367099"/>
              <a:ext cx="7362825" cy="86257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8">
          <xdr:nvSpPr>
            <xdr:cNvPr id="19" name="RENTAL_1_SECTION_TITLE">
              <a:extLst>
                <a:ext uri="{FF2B5EF4-FFF2-40B4-BE49-F238E27FC236}">
                  <a16:creationId xmlns:a16="http://schemas.microsoft.com/office/drawing/2014/main" id="{00000000-0008-0000-0300-000013000000}"/>
                </a:ext>
              </a:extLst>
            </xdr:cNvPr>
            <xdr:cNvSpPr/>
          </xdr:nvSpPr>
          <xdr:spPr>
            <a:xfrm>
              <a:off x="8191500" y="4057651"/>
              <a:ext cx="7360920" cy="311090"/>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41F85F06-3A35-4C2E-A513-A2CFAECED2A4}" type="TxLink">
                <a:rPr lang="en-US" sz="1100" b="1" i="0" u="none" strike="noStrike">
                  <a:solidFill>
                    <a:schemeClr val="bg1"/>
                  </a:solidFill>
                  <a:latin typeface="Calibri"/>
                </a:rPr>
                <a:pPr algn="l"/>
                <a:t>Federal Home Loan Bank of New York Member</a:t>
              </a:fld>
              <a:endParaRPr lang="en-US" sz="1100" b="1" i="0">
                <a:solidFill>
                  <a:schemeClr val="bg1"/>
                </a:solidFill>
              </a:endParaRPr>
            </a:p>
          </xdr:txBody>
        </xdr:sp>
        <xdr:sp macro="" textlink="$B$25">
          <xdr:nvSpPr>
            <xdr:cNvPr id="20" name="RENTAL_1_SECTION_SUBTITLE">
              <a:extLst>
                <a:ext uri="{FF2B5EF4-FFF2-40B4-BE49-F238E27FC236}">
                  <a16:creationId xmlns:a16="http://schemas.microsoft.com/office/drawing/2014/main" id="{00000000-0008-0000-0300-000014000000}"/>
                </a:ext>
              </a:extLst>
            </xdr:cNvPr>
            <xdr:cNvSpPr/>
          </xdr:nvSpPr>
          <xdr:spPr>
            <a:xfrm>
              <a:off x="8201025" y="4379110"/>
              <a:ext cx="7351776" cy="27432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CCDC5A28-C611-4D0B-B4D7-393A7AD37E0E}" type="TxLink">
                <a:rPr lang="en-US" sz="900" b="0" i="0" u="none" strike="noStrike">
                  <a:solidFill>
                    <a:srgbClr val="000000"/>
                  </a:solidFill>
                  <a:latin typeface="Calibri"/>
                </a:rPr>
                <a:pPr algn="l"/>
                <a:t>Not Started</a:t>
              </a:fld>
              <a:endParaRPr lang="en-US" sz="1100" i="0"/>
            </a:p>
          </xdr:txBody>
        </xdr:sp>
        <xdr:sp macro="" textlink="">
          <xdr:nvSpPr>
            <xdr:cNvPr id="21" name="RENTAL_1_SECTION_SUBTITLE_LABEL">
              <a:extLst>
                <a:ext uri="{FF2B5EF4-FFF2-40B4-BE49-F238E27FC236}">
                  <a16:creationId xmlns:a16="http://schemas.microsoft.com/office/drawing/2014/main" id="{00000000-0008-0000-0300-000015000000}"/>
                </a:ext>
              </a:extLst>
            </xdr:cNvPr>
            <xdr:cNvSpPr txBox="1"/>
          </xdr:nvSpPr>
          <xdr:spPr>
            <a:xfrm>
              <a:off x="8296277" y="4379110"/>
              <a:ext cx="476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17" name="LINK_RENTAL_TOC">
            <a:hlinkClick xmlns:r="http://schemas.openxmlformats.org/officeDocument/2006/relationships" r:id="rId3"/>
            <a:extLst>
              <a:ext uri="{FF2B5EF4-FFF2-40B4-BE49-F238E27FC236}">
                <a16:creationId xmlns:a16="http://schemas.microsoft.com/office/drawing/2014/main" id="{00000000-0008-0000-0300-000011000000}"/>
              </a:ext>
            </a:extLst>
          </xdr:cNvPr>
          <xdr:cNvSpPr/>
        </xdr:nvSpPr>
        <xdr:spPr>
          <a:xfrm>
            <a:off x="14525626" y="5295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14</xdr:col>
      <xdr:colOff>3398</xdr:colOff>
      <xdr:row>0</xdr:row>
      <xdr:rowOff>71440</xdr:rowOff>
    </xdr:from>
    <xdr:to>
      <xdr:col>24</xdr:col>
      <xdr:colOff>98648</xdr:colOff>
      <xdr:row>0</xdr:row>
      <xdr:rowOff>295275</xdr:rowOff>
    </xdr:to>
    <xdr:sp macro="" textlink="$B$6">
      <xdr:nvSpPr>
        <xdr:cNvPr id="22" name="HEADER_BANNER_TITLE">
          <a:extLst>
            <a:ext uri="{FF2B5EF4-FFF2-40B4-BE49-F238E27FC236}">
              <a16:creationId xmlns:a16="http://schemas.microsoft.com/office/drawing/2014/main" id="{00000000-0008-0000-0300-000016000000}"/>
            </a:ext>
          </a:extLst>
        </xdr:cNvPr>
        <xdr:cNvSpPr txBox="1"/>
      </xdr:nvSpPr>
      <xdr:spPr>
        <a:xfrm>
          <a:off x="2851373" y="71440"/>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100" b="1" i="0" u="none" strike="noStrike">
              <a:solidFill>
                <a:sysClr val="windowText" lastClr="000000"/>
              </a:solidFill>
              <a:latin typeface="Calibri"/>
              <a:cs typeface="Calibri"/>
            </a:rPr>
            <a:pPr algn="r"/>
            <a:t>Homebuyer Dream Program® Request Form - 2023 Round</a:t>
          </a:fld>
          <a:endParaRPr lang="en-US" sz="1100" b="1" i="0">
            <a:solidFill>
              <a:sysClr val="windowText" lastClr="000000"/>
            </a:solidFill>
          </a:endParaRPr>
        </a:p>
      </xdr:txBody>
    </xdr:sp>
    <xdr:clientData/>
  </xdr:twoCellAnchor>
  <xdr:twoCellAnchor editAs="oneCell">
    <xdr:from>
      <xdr:col>7</xdr:col>
      <xdr:colOff>66675</xdr:colOff>
      <xdr:row>23</xdr:row>
      <xdr:rowOff>238125</xdr:rowOff>
    </xdr:from>
    <xdr:to>
      <xdr:col>24</xdr:col>
      <xdr:colOff>104776</xdr:colOff>
      <xdr:row>57</xdr:row>
      <xdr:rowOff>114300</xdr:rowOff>
    </xdr:to>
    <xdr:grpSp>
      <xdr:nvGrpSpPr>
        <xdr:cNvPr id="23" name="Group 22">
          <a:extLst>
            <a:ext uri="{FF2B5EF4-FFF2-40B4-BE49-F238E27FC236}">
              <a16:creationId xmlns:a16="http://schemas.microsoft.com/office/drawing/2014/main" id="{00000000-0008-0000-0300-000017000000}"/>
            </a:ext>
          </a:extLst>
        </xdr:cNvPr>
        <xdr:cNvGrpSpPr/>
      </xdr:nvGrpSpPr>
      <xdr:grpSpPr>
        <a:xfrm>
          <a:off x="66675" y="6410325"/>
          <a:ext cx="7362826" cy="9267825"/>
          <a:chOff x="8191500" y="8343900"/>
          <a:chExt cx="7362826" cy="9010651"/>
        </a:xfrm>
      </xdr:grpSpPr>
      <xdr:grpSp>
        <xdr:nvGrpSpPr>
          <xdr:cNvPr id="24" name="RENTAL_2">
            <a:extLst>
              <a:ext uri="{FF2B5EF4-FFF2-40B4-BE49-F238E27FC236}">
                <a16:creationId xmlns:a16="http://schemas.microsoft.com/office/drawing/2014/main" id="{00000000-0008-0000-0300-000018000000}"/>
              </a:ext>
            </a:extLst>
          </xdr:cNvPr>
          <xdr:cNvGrpSpPr/>
        </xdr:nvGrpSpPr>
        <xdr:grpSpPr>
          <a:xfrm>
            <a:off x="8191500" y="8343902"/>
            <a:ext cx="7362825" cy="9010649"/>
            <a:chOff x="9353550" y="7334730"/>
            <a:chExt cx="7362825" cy="8558388"/>
          </a:xfrm>
        </xdr:grpSpPr>
        <xdr:sp macro="" textlink="">
          <xdr:nvSpPr>
            <xdr:cNvPr id="26" name="RENTAL_2_SECTION_FRAME">
              <a:extLst>
                <a:ext uri="{FF2B5EF4-FFF2-40B4-BE49-F238E27FC236}">
                  <a16:creationId xmlns:a16="http://schemas.microsoft.com/office/drawing/2014/main" id="{00000000-0008-0000-0300-00001A000000}"/>
                </a:ext>
              </a:extLst>
            </xdr:cNvPr>
            <xdr:cNvSpPr/>
          </xdr:nvSpPr>
          <xdr:spPr>
            <a:xfrm>
              <a:off x="9353550" y="7632464"/>
              <a:ext cx="7362825" cy="826065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30">
          <xdr:nvSpPr>
            <xdr:cNvPr id="27" name="RENTAL_2_SECTION_TITLE">
              <a:extLst>
                <a:ext uri="{FF2B5EF4-FFF2-40B4-BE49-F238E27FC236}">
                  <a16:creationId xmlns:a16="http://schemas.microsoft.com/office/drawing/2014/main" id="{00000000-0008-0000-0300-00001B000000}"/>
                </a:ext>
              </a:extLst>
            </xdr:cNvPr>
            <xdr:cNvSpPr/>
          </xdr:nvSpPr>
          <xdr:spPr>
            <a:xfrm>
              <a:off x="9353550" y="7334730"/>
              <a:ext cx="7360920" cy="29166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86A917A-A239-4A8F-B86B-B93056A9B8CA}" type="TxLink">
                <a:rPr lang="en-US" sz="1100" b="1" i="0" u="none" strike="noStrike">
                  <a:solidFill>
                    <a:srgbClr val="FFFFFF"/>
                  </a:solidFill>
                  <a:latin typeface="Calibri"/>
                  <a:cs typeface="Calibri"/>
                </a:rPr>
                <a:pPr algn="l"/>
                <a:t>Household &amp; Submission Details</a:t>
              </a:fld>
              <a:endParaRPr lang="en-US" sz="1100" b="1" i="0">
                <a:solidFill>
                  <a:schemeClr val="bg1"/>
                </a:solidFill>
              </a:endParaRPr>
            </a:p>
          </xdr:txBody>
        </xdr:sp>
        <xdr:sp macro="" textlink="$B$51">
          <xdr:nvSpPr>
            <xdr:cNvPr id="28" name="RENTAL_2_SECTION_SUBTITLE">
              <a:extLst>
                <a:ext uri="{FF2B5EF4-FFF2-40B4-BE49-F238E27FC236}">
                  <a16:creationId xmlns:a16="http://schemas.microsoft.com/office/drawing/2014/main" id="{00000000-0008-0000-0300-00001C000000}"/>
                </a:ext>
              </a:extLst>
            </xdr:cNvPr>
            <xdr:cNvSpPr/>
          </xdr:nvSpPr>
          <xdr:spPr>
            <a:xfrm>
              <a:off x="9363075" y="7641569"/>
              <a:ext cx="7351776" cy="25735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BEF70007-2BBB-4EA1-8334-9920191B3D48}" type="TxLink">
                <a:rPr lang="en-US" sz="900" b="0" i="0" u="none" strike="noStrike">
                  <a:solidFill>
                    <a:srgbClr val="000000"/>
                  </a:solidFill>
                  <a:latin typeface="Calibri"/>
                  <a:cs typeface="Calibri"/>
                </a:rPr>
                <a:pPr algn="l"/>
                <a:t>Not Started</a:t>
              </a:fld>
              <a:endParaRPr lang="en-US" sz="1100" i="0"/>
            </a:p>
          </xdr:txBody>
        </xdr:sp>
        <xdr:sp macro="" textlink="">
          <xdr:nvSpPr>
            <xdr:cNvPr id="29" name="RENTAL_2_SECTION_SUBTITLE_LABEL">
              <a:extLst>
                <a:ext uri="{FF2B5EF4-FFF2-40B4-BE49-F238E27FC236}">
                  <a16:creationId xmlns:a16="http://schemas.microsoft.com/office/drawing/2014/main" id="{00000000-0008-0000-0300-00001D000000}"/>
                </a:ext>
              </a:extLst>
            </xdr:cNvPr>
            <xdr:cNvSpPr txBox="1"/>
          </xdr:nvSpPr>
          <xdr:spPr>
            <a:xfrm>
              <a:off x="9458327" y="7641569"/>
              <a:ext cx="476249" cy="257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25" name="LINK_RENTAL_TOC">
            <a:hlinkClick xmlns:r="http://schemas.openxmlformats.org/officeDocument/2006/relationships" r:id="rId3"/>
            <a:extLst>
              <a:ext uri="{FF2B5EF4-FFF2-40B4-BE49-F238E27FC236}">
                <a16:creationId xmlns:a16="http://schemas.microsoft.com/office/drawing/2014/main" id="{00000000-0008-0000-0300-000019000000}"/>
              </a:ext>
            </a:extLst>
          </xdr:cNvPr>
          <xdr:cNvSpPr/>
        </xdr:nvSpPr>
        <xdr:spPr>
          <a:xfrm>
            <a:off x="14525626" y="8343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51" name="HEADER_BANNER_SUBTITLE">
          <a:extLst>
            <a:ext uri="{FF2B5EF4-FFF2-40B4-BE49-F238E27FC236}">
              <a16:creationId xmlns:a16="http://schemas.microsoft.com/office/drawing/2014/main" id="{00000000-0008-0000-0300-000033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800" b="1" i="0" u="none" strike="noStrike">
              <a:solidFill>
                <a:schemeClr val="bg1"/>
              </a:solidFill>
              <a:latin typeface="Calibri"/>
              <a:cs typeface="Calibri"/>
            </a:rPr>
            <a:pPr algn="ctr"/>
            <a:t>Other Documentation Request </a:t>
          </a:fld>
          <a:endParaRPr lang="en-US" sz="800" b="1" i="0" u="none" strike="noStrike">
            <a:solidFill>
              <a:schemeClr val="bg1"/>
            </a:solidFill>
            <a:latin typeface="Calibri"/>
          </a:endParaRPr>
        </a:p>
      </xdr:txBody>
    </xdr:sp>
    <xdr:clientData/>
  </xdr:twoCellAnchor>
  <xdr:twoCellAnchor editAs="oneCell">
    <xdr:from>
      <xdr:col>7</xdr:col>
      <xdr:colOff>28574</xdr:colOff>
      <xdr:row>0</xdr:row>
      <xdr:rowOff>37735</xdr:rowOff>
    </xdr:from>
    <xdr:to>
      <xdr:col>10</xdr:col>
      <xdr:colOff>299467</xdr:colOff>
      <xdr:row>0</xdr:row>
      <xdr:rowOff>480458</xdr:rowOff>
    </xdr:to>
    <xdr:pic>
      <xdr:nvPicPr>
        <xdr:cNvPr id="52" name="FHLBNY_LOGO" descr="Medium.gif">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4" cstate="print"/>
        <a:stretch>
          <a:fillRect/>
        </a:stretch>
      </xdr:blipFill>
      <xdr:spPr>
        <a:xfrm>
          <a:off x="28574" y="37735"/>
          <a:ext cx="1328168" cy="442723"/>
        </a:xfrm>
        <a:prstGeom prst="rect">
          <a:avLst/>
        </a:prstGeom>
      </xdr:spPr>
    </xdr:pic>
    <xdr:clientData/>
  </xdr:twoCellAnchor>
  <xdr:twoCellAnchor editAs="oneCell">
    <xdr:from>
      <xdr:col>18</xdr:col>
      <xdr:colOff>112423</xdr:colOff>
      <xdr:row>0</xdr:row>
      <xdr:rowOff>308208</xdr:rowOff>
    </xdr:from>
    <xdr:to>
      <xdr:col>24</xdr:col>
      <xdr:colOff>103922</xdr:colOff>
      <xdr:row>0</xdr:row>
      <xdr:rowOff>491088</xdr:rowOff>
    </xdr:to>
    <xdr:sp macro="" textlink="CONFIG_EFORM_DOC_ID_NAME">
      <xdr:nvSpPr>
        <xdr:cNvPr id="53" name="HEADER_BANNER_DOCID">
          <a:extLst>
            <a:ext uri="{FF2B5EF4-FFF2-40B4-BE49-F238E27FC236}">
              <a16:creationId xmlns:a16="http://schemas.microsoft.com/office/drawing/2014/main" id="{00000000-0008-0000-0300-000035000000}"/>
            </a:ext>
          </a:extLst>
        </xdr:cNvPr>
        <xdr:cNvSpPr txBox="1"/>
      </xdr:nvSpPr>
      <xdr:spPr>
        <a:xfrm>
          <a:off x="4751098" y="308208"/>
          <a:ext cx="2677549"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97113A79-CD90-47BB-BEF4-2FFEEDF102CE}" type="TxLink">
            <a:rPr lang="en-US" sz="800" b="0" i="0" u="none" strike="noStrike" baseline="0">
              <a:solidFill>
                <a:srgbClr val="000000"/>
              </a:solidFill>
              <a:latin typeface="Calibri"/>
              <a:cs typeface="Calibri"/>
            </a:rPr>
            <a:pPr algn="r"/>
            <a:t>HDP-005: Homebuyer Dream Program Request Form</a:t>
          </a:fld>
          <a:endParaRPr lang="en-US" sz="600" b="0" i="0" u="none" strike="noStrike">
            <a:solidFill>
              <a:sysClr val="windowText" lastClr="000000"/>
            </a:solidFill>
            <a:latin typeface="Calibri"/>
          </a:endParaRPr>
        </a:p>
      </xdr:txBody>
    </xdr:sp>
    <xdr:clientData/>
  </xdr:twoCellAnchor>
  <xdr:twoCellAnchor editAs="oneCell">
    <xdr:from>
      <xdr:col>7</xdr:col>
      <xdr:colOff>9526</xdr:colOff>
      <xdr:row>0</xdr:row>
      <xdr:rowOff>5420</xdr:rowOff>
    </xdr:from>
    <xdr:to>
      <xdr:col>25</xdr:col>
      <xdr:colOff>0</xdr:colOff>
      <xdr:row>4</xdr:row>
      <xdr:rowOff>908</xdr:rowOff>
    </xdr:to>
    <xdr:sp macro="" textlink="">
      <xdr:nvSpPr>
        <xdr:cNvPr id="54" name="HEADER_SHORTCUT_TOP">
          <a:hlinkClick xmlns:r="http://schemas.openxmlformats.org/officeDocument/2006/relationships" r:id="rId3" tooltip="Jump to Top"/>
          <a:extLst>
            <a:ext uri="{FF2B5EF4-FFF2-40B4-BE49-F238E27FC236}">
              <a16:creationId xmlns:a16="http://schemas.microsoft.com/office/drawing/2014/main" id="{00000000-0008-0000-0300-000036000000}"/>
            </a:ext>
          </a:extLst>
        </xdr:cNvPr>
        <xdr:cNvSpPr/>
      </xdr:nvSpPr>
      <xdr:spPr>
        <a:xfrm>
          <a:off x="9526" y="5420"/>
          <a:ext cx="7477124" cy="77653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p>
      </xdr:txBody>
    </xdr:sp>
    <xdr:clientData fPrintsWithSheet="0"/>
  </xdr:twoCellAnchor>
  <xdr:twoCellAnchor>
    <xdr:from>
      <xdr:col>19</xdr:col>
      <xdr:colOff>38100</xdr:colOff>
      <xdr:row>37</xdr:row>
      <xdr:rowOff>152400</xdr:rowOff>
    </xdr:from>
    <xdr:to>
      <xdr:col>21</xdr:col>
      <xdr:colOff>104775</xdr:colOff>
      <xdr:row>37</xdr:row>
      <xdr:rowOff>152400</xdr:rowOff>
    </xdr:to>
    <xdr:cxnSp macro="">
      <xdr:nvCxnSpPr>
        <xdr:cNvPr id="81" name="DOTTED_LINE">
          <a:extLst>
            <a:ext uri="{FF2B5EF4-FFF2-40B4-BE49-F238E27FC236}">
              <a16:creationId xmlns:a16="http://schemas.microsoft.com/office/drawing/2014/main" id="{00000000-0008-0000-0300-000051000000}"/>
            </a:ext>
          </a:extLst>
        </xdr:cNvPr>
        <xdr:cNvCxnSpPr/>
      </xdr:nvCxnSpPr>
      <xdr:spPr>
        <a:xfrm>
          <a:off x="13515975" y="20688300"/>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161925</xdr:colOff>
      <xdr:row>42</xdr:row>
      <xdr:rowOff>152400</xdr:rowOff>
    </xdr:from>
    <xdr:to>
      <xdr:col>21</xdr:col>
      <xdr:colOff>104775</xdr:colOff>
      <xdr:row>42</xdr:row>
      <xdr:rowOff>152400</xdr:rowOff>
    </xdr:to>
    <xdr:cxnSp macro="">
      <xdr:nvCxnSpPr>
        <xdr:cNvPr id="43" name="DOTTED_LINE">
          <a:extLst>
            <a:ext uri="{FF2B5EF4-FFF2-40B4-BE49-F238E27FC236}">
              <a16:creationId xmlns:a16="http://schemas.microsoft.com/office/drawing/2014/main" id="{00000000-0008-0000-0300-00002B000000}"/>
            </a:ext>
          </a:extLst>
        </xdr:cNvPr>
        <xdr:cNvCxnSpPr/>
      </xdr:nvCxnSpPr>
      <xdr:spPr>
        <a:xfrm>
          <a:off x="5514975" y="11572875"/>
          <a:ext cx="838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190500</xdr:colOff>
          <xdr:row>55</xdr:row>
          <xdr:rowOff>19050</xdr:rowOff>
        </xdr:from>
        <xdr:to>
          <xdr:col>18</xdr:col>
          <xdr:colOff>552450</xdr:colOff>
          <xdr:row>55</xdr:row>
          <xdr:rowOff>266700</xdr:rowOff>
        </xdr:to>
        <xdr:sp macro="" textlink="">
          <xdr:nvSpPr>
            <xdr:cNvPr id="12289" name="ICW_COMPLETE_FLAG"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Income Calculation Worksheet has been fully completed</a:t>
              </a:r>
            </a:p>
          </xdr:txBody>
        </xdr:sp>
        <xdr:clientData/>
      </xdr:twoCellAnchor>
    </mc:Choice>
    <mc:Fallback/>
  </mc:AlternateContent>
  <xdr:twoCellAnchor>
    <xdr:from>
      <xdr:col>12</xdr:col>
      <xdr:colOff>419100</xdr:colOff>
      <xdr:row>52</xdr:row>
      <xdr:rowOff>95250</xdr:rowOff>
    </xdr:from>
    <xdr:to>
      <xdr:col>18</xdr:col>
      <xdr:colOff>485775</xdr:colOff>
      <xdr:row>53</xdr:row>
      <xdr:rowOff>171450</xdr:rowOff>
    </xdr:to>
    <xdr:sp macro="" textlink="">
      <xdr:nvSpPr>
        <xdr:cNvPr id="45" name="Rounded Rectangle 44">
          <a:hlinkClick xmlns:r="http://schemas.openxmlformats.org/officeDocument/2006/relationships" r:id="rId5"/>
          <a:extLst>
            <a:ext uri="{FF2B5EF4-FFF2-40B4-BE49-F238E27FC236}">
              <a16:creationId xmlns:a16="http://schemas.microsoft.com/office/drawing/2014/main" id="{00000000-0008-0000-0300-00002D000000}"/>
            </a:ext>
          </a:extLst>
        </xdr:cNvPr>
        <xdr:cNvSpPr/>
      </xdr:nvSpPr>
      <xdr:spPr>
        <a:xfrm>
          <a:off x="2371725" y="24222075"/>
          <a:ext cx="2752725" cy="352425"/>
        </a:xfrm>
        <a:prstGeom prst="roundRect">
          <a:avLst/>
        </a:prstGeom>
        <a:gradFill>
          <a:gsLst>
            <a:gs pos="0">
              <a:srgbClr val="8EB149"/>
            </a:gs>
            <a:gs pos="100000">
              <a:srgbClr val="708B39"/>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Arial" panose="020B0604020202020204" pitchFamily="34" charset="0"/>
              <a:cs typeface="Arial" panose="020B0604020202020204" pitchFamily="34" charset="0"/>
            </a:rPr>
            <a:t>Open Income Calculation Worksheet </a:t>
          </a:r>
        </a:p>
      </xdr:txBody>
    </xdr:sp>
    <xdr:clientData/>
  </xdr:twoCellAnchor>
  <xdr:twoCellAnchor editAs="oneCell">
    <xdr:from>
      <xdr:col>7</xdr:col>
      <xdr:colOff>66675</xdr:colOff>
      <xdr:row>57</xdr:row>
      <xdr:rowOff>247650</xdr:rowOff>
    </xdr:from>
    <xdr:to>
      <xdr:col>24</xdr:col>
      <xdr:colOff>104775</xdr:colOff>
      <xdr:row>90</xdr:row>
      <xdr:rowOff>114299</xdr:rowOff>
    </xdr:to>
    <xdr:grpSp>
      <xdr:nvGrpSpPr>
        <xdr:cNvPr id="49" name="Group 48">
          <a:extLst>
            <a:ext uri="{FF2B5EF4-FFF2-40B4-BE49-F238E27FC236}">
              <a16:creationId xmlns:a16="http://schemas.microsoft.com/office/drawing/2014/main" id="{00000000-0008-0000-0300-000031000000}"/>
            </a:ext>
          </a:extLst>
        </xdr:cNvPr>
        <xdr:cNvGrpSpPr/>
      </xdr:nvGrpSpPr>
      <xdr:grpSpPr>
        <a:xfrm>
          <a:off x="66675" y="15811500"/>
          <a:ext cx="7362825" cy="8982074"/>
          <a:chOff x="8191500" y="18297525"/>
          <a:chExt cx="7362825" cy="8982074"/>
        </a:xfrm>
      </xdr:grpSpPr>
      <xdr:grpSp>
        <xdr:nvGrpSpPr>
          <xdr:cNvPr id="50" name="RENTAL_5">
            <a:extLst>
              <a:ext uri="{FF2B5EF4-FFF2-40B4-BE49-F238E27FC236}">
                <a16:creationId xmlns:a16="http://schemas.microsoft.com/office/drawing/2014/main" id="{00000000-0008-0000-0300-000032000000}"/>
              </a:ext>
            </a:extLst>
          </xdr:cNvPr>
          <xdr:cNvGrpSpPr/>
        </xdr:nvGrpSpPr>
        <xdr:grpSpPr>
          <a:xfrm>
            <a:off x="8191500" y="18297527"/>
            <a:ext cx="7362825" cy="8982072"/>
            <a:chOff x="9363075" y="17297252"/>
            <a:chExt cx="7362825" cy="9205659"/>
          </a:xfrm>
        </xdr:grpSpPr>
        <xdr:sp macro="" textlink="">
          <xdr:nvSpPr>
            <xdr:cNvPr id="59" name="RENTAL_5_SECTION_FRAME">
              <a:extLst>
                <a:ext uri="{FF2B5EF4-FFF2-40B4-BE49-F238E27FC236}">
                  <a16:creationId xmlns:a16="http://schemas.microsoft.com/office/drawing/2014/main" id="{00000000-0008-0000-0300-00003B000000}"/>
                </a:ext>
              </a:extLst>
            </xdr:cNvPr>
            <xdr:cNvSpPr/>
          </xdr:nvSpPr>
          <xdr:spPr>
            <a:xfrm>
              <a:off x="9363075" y="17617604"/>
              <a:ext cx="7362825" cy="8885307"/>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56">
          <xdr:nvSpPr>
            <xdr:cNvPr id="60" name="RENTAL_5_SECTION_TITLE">
              <a:extLst>
                <a:ext uri="{FF2B5EF4-FFF2-40B4-BE49-F238E27FC236}">
                  <a16:creationId xmlns:a16="http://schemas.microsoft.com/office/drawing/2014/main" id="{00000000-0008-0000-0300-00003C000000}"/>
                </a:ext>
              </a:extLst>
            </xdr:cNvPr>
            <xdr:cNvSpPr/>
          </xdr:nvSpPr>
          <xdr:spPr>
            <a:xfrm>
              <a:off x="9363075" y="17297252"/>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9DF9BA25-05A3-4920-BA1B-8A0AAD6FE00E}" type="TxLink">
                <a:rPr lang="en-US" sz="1100" b="1" i="0" u="none" strike="noStrike">
                  <a:solidFill>
                    <a:srgbClr val="FFFFFF"/>
                  </a:solidFill>
                  <a:latin typeface="Calibri"/>
                  <a:cs typeface="Calibri"/>
                </a:rPr>
                <a:pPr algn="l"/>
                <a:t>Member Certification</a:t>
              </a:fld>
              <a:endParaRPr lang="en-US" sz="1100" b="1" i="0" u="none" strike="noStrike">
                <a:solidFill>
                  <a:schemeClr val="bg1"/>
                </a:solidFill>
                <a:latin typeface="Calibri"/>
              </a:endParaRPr>
            </a:p>
          </xdr:txBody>
        </xdr:sp>
        <xdr:sp macro="" textlink="$B$67">
          <xdr:nvSpPr>
            <xdr:cNvPr id="69" name="RENTAL_5_SECTION_SUBTITLE">
              <a:extLst>
                <a:ext uri="{FF2B5EF4-FFF2-40B4-BE49-F238E27FC236}">
                  <a16:creationId xmlns:a16="http://schemas.microsoft.com/office/drawing/2014/main" id="{00000000-0008-0000-0300-000045000000}"/>
                </a:ext>
              </a:extLst>
            </xdr:cNvPr>
            <xdr:cNvSpPr/>
          </xdr:nvSpPr>
          <xdr:spPr>
            <a:xfrm>
              <a:off x="9372598" y="17621098"/>
              <a:ext cx="7351776" cy="27855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762594DE-3823-4529-9D07-42BEED13138B}" type="TxLink">
                <a:rPr lang="en-US" sz="900" b="0" i="0" u="none" strike="noStrike">
                  <a:solidFill>
                    <a:srgbClr val="000000"/>
                  </a:solidFill>
                  <a:latin typeface="Calibri"/>
                  <a:cs typeface="Calibri"/>
                </a:rPr>
                <a:pPr algn="l"/>
                <a:t>Not Started</a:t>
              </a:fld>
              <a:endParaRPr lang="en-US" sz="1100" i="0"/>
            </a:p>
          </xdr:txBody>
        </xdr:sp>
        <xdr:sp macro="" textlink="">
          <xdr:nvSpPr>
            <xdr:cNvPr id="70" name="RENTAL_5_SECTION_SUBTITLE_LABEL">
              <a:extLst>
                <a:ext uri="{FF2B5EF4-FFF2-40B4-BE49-F238E27FC236}">
                  <a16:creationId xmlns:a16="http://schemas.microsoft.com/office/drawing/2014/main" id="{00000000-0008-0000-0300-000046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58" name="LINK_RENTAL_TOC">
            <a:hlinkClick xmlns:r="http://schemas.openxmlformats.org/officeDocument/2006/relationships" r:id="rId3"/>
            <a:extLst>
              <a:ext uri="{FF2B5EF4-FFF2-40B4-BE49-F238E27FC236}">
                <a16:creationId xmlns:a16="http://schemas.microsoft.com/office/drawing/2014/main" id="{00000000-0008-0000-0300-00003A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oneCellAnchor>
    <xdr:from>
      <xdr:col>8</xdr:col>
      <xdr:colOff>200024</xdr:colOff>
      <xdr:row>17</xdr:row>
      <xdr:rowOff>9525</xdr:rowOff>
    </xdr:from>
    <xdr:ext cx="2200275" cy="264560"/>
    <xdr:sp macro="" textlink="$B$53">
      <xdr:nvSpPr>
        <xdr:cNvPr id="72" name="TOC_SECTION_9">
          <a:hlinkClick xmlns:r="http://schemas.openxmlformats.org/officeDocument/2006/relationships" r:id="rId6"/>
          <a:extLst>
            <a:ext uri="{FF2B5EF4-FFF2-40B4-BE49-F238E27FC236}">
              <a16:creationId xmlns:a16="http://schemas.microsoft.com/office/drawing/2014/main" id="{00000000-0008-0000-0300-000048000000}"/>
            </a:ext>
          </a:extLst>
        </xdr:cNvPr>
        <xdr:cNvSpPr txBox="1"/>
      </xdr:nvSpPr>
      <xdr:spPr>
        <a:xfrm>
          <a:off x="8486774"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9FA7E1F7-4F86-4A36-97C4-40980C6555E4}" type="TxLink">
            <a:rPr lang="en-US" sz="1000" b="1" i="0" u="sng" strike="noStrike">
              <a:solidFill>
                <a:schemeClr val="accent1">
                  <a:lumMod val="75000"/>
                </a:schemeClr>
              </a:solidFill>
              <a:latin typeface="Calibri"/>
              <a:ea typeface="+mn-ea"/>
              <a:cs typeface="Calibri"/>
            </a:rPr>
            <a:pPr marL="0" indent="0" algn="l"/>
            <a:t>Household &amp; Submission Details</a:t>
          </a:fld>
          <a:endParaRPr lang="en-US" sz="1000" b="1" i="0" u="sng" strike="noStrike">
            <a:solidFill>
              <a:schemeClr val="accent1">
                <a:lumMod val="75000"/>
              </a:schemeClr>
            </a:solidFill>
            <a:latin typeface="Calibri"/>
            <a:ea typeface="+mn-ea"/>
            <a:cs typeface="Calibri"/>
          </a:endParaRPr>
        </a:p>
      </xdr:txBody>
    </xdr:sp>
    <xdr:clientData fPrintsWithSheet="0"/>
  </xdr:oneCellAnchor>
  <xdr:twoCellAnchor>
    <xdr:from>
      <xdr:col>7</xdr:col>
      <xdr:colOff>66675</xdr:colOff>
      <xdr:row>13</xdr:row>
      <xdr:rowOff>228603</xdr:rowOff>
    </xdr:from>
    <xdr:to>
      <xdr:col>24</xdr:col>
      <xdr:colOff>104777</xdr:colOff>
      <xdr:row>18</xdr:row>
      <xdr:rowOff>0</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66675" y="3638553"/>
          <a:ext cx="7362827" cy="1152522"/>
          <a:chOff x="8191500" y="3638553"/>
          <a:chExt cx="7362827" cy="1152522"/>
        </a:xfrm>
      </xdr:grpSpPr>
      <xdr:grpSp>
        <xdr:nvGrpSpPr>
          <xdr:cNvPr id="55" name="TABLE_OF_CONTENTS_RENTAL">
            <a:extLst>
              <a:ext uri="{FF2B5EF4-FFF2-40B4-BE49-F238E27FC236}">
                <a16:creationId xmlns:a16="http://schemas.microsoft.com/office/drawing/2014/main" id="{00000000-0008-0000-0300-000037000000}"/>
              </a:ext>
            </a:extLst>
          </xdr:cNvPr>
          <xdr:cNvGrpSpPr/>
        </xdr:nvGrpSpPr>
        <xdr:grpSpPr>
          <a:xfrm>
            <a:off x="8191500" y="3638553"/>
            <a:ext cx="7362827" cy="1152522"/>
            <a:chOff x="8191498" y="1276170"/>
            <a:chExt cx="7362827" cy="1140799"/>
          </a:xfrm>
        </xdr:grpSpPr>
        <xdr:grpSp>
          <xdr:nvGrpSpPr>
            <xdr:cNvPr id="56" name="RENTAL_TABLE_OF_CONTENTS">
              <a:extLst>
                <a:ext uri="{FF2B5EF4-FFF2-40B4-BE49-F238E27FC236}">
                  <a16:creationId xmlns:a16="http://schemas.microsoft.com/office/drawing/2014/main" id="{00000000-0008-0000-0300-000038000000}"/>
                </a:ext>
              </a:extLst>
            </xdr:cNvPr>
            <xdr:cNvGrpSpPr/>
          </xdr:nvGrpSpPr>
          <xdr:grpSpPr>
            <a:xfrm>
              <a:off x="8191498" y="1276170"/>
              <a:ext cx="7362827" cy="1140799"/>
              <a:chOff x="8191498" y="1276170"/>
              <a:chExt cx="7362827" cy="1140799"/>
            </a:xfrm>
          </xdr:grpSpPr>
          <xdr:sp macro="" textlink="">
            <xdr:nvSpPr>
              <xdr:cNvPr id="61" name="TOC_HEADER_BG">
                <a:extLst>
                  <a:ext uri="{FF2B5EF4-FFF2-40B4-BE49-F238E27FC236}">
                    <a16:creationId xmlns:a16="http://schemas.microsoft.com/office/drawing/2014/main" id="{00000000-0008-0000-0300-00003D000000}"/>
                  </a:ext>
                </a:extLst>
              </xdr:cNvPr>
              <xdr:cNvSpPr/>
            </xdr:nvSpPr>
            <xdr:spPr>
              <a:xfrm>
                <a:off x="8191498" y="159225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grpSp>
            <xdr:nvGrpSpPr>
              <xdr:cNvPr id="62" name="TOC">
                <a:extLst>
                  <a:ext uri="{FF2B5EF4-FFF2-40B4-BE49-F238E27FC236}">
                    <a16:creationId xmlns:a16="http://schemas.microsoft.com/office/drawing/2014/main" id="{00000000-0008-0000-0300-00003E000000}"/>
                  </a:ext>
                </a:extLst>
              </xdr:cNvPr>
              <xdr:cNvGrpSpPr/>
            </xdr:nvGrpSpPr>
            <xdr:grpSpPr>
              <a:xfrm>
                <a:off x="8191500" y="1276170"/>
                <a:ext cx="7362825" cy="1140799"/>
                <a:chOff x="9239250" y="1816952"/>
                <a:chExt cx="7362825" cy="879565"/>
              </a:xfrm>
              <a:effectLst/>
            </xdr:grpSpPr>
            <xdr:sp macro="" textlink="">
              <xdr:nvSpPr>
                <xdr:cNvPr id="67" name="Rectangle 66">
                  <a:extLst>
                    <a:ext uri="{FF2B5EF4-FFF2-40B4-BE49-F238E27FC236}">
                      <a16:creationId xmlns:a16="http://schemas.microsoft.com/office/drawing/2014/main" id="{00000000-0008-0000-0300-000043000000}"/>
                    </a:ext>
                  </a:extLst>
                </xdr:cNvPr>
                <xdr:cNvSpPr/>
              </xdr:nvSpPr>
              <xdr:spPr>
                <a:xfrm>
                  <a:off x="9239250" y="2052094"/>
                  <a:ext cx="7362825" cy="644423"/>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68" name="Rectangle 67">
                  <a:extLst>
                    <a:ext uri="{FF2B5EF4-FFF2-40B4-BE49-F238E27FC236}">
                      <a16:creationId xmlns:a16="http://schemas.microsoft.com/office/drawing/2014/main" id="{00000000-0008-0000-0300-000044000000}"/>
                    </a:ext>
                  </a:extLst>
                </xdr:cNvPr>
                <xdr:cNvSpPr/>
              </xdr:nvSpPr>
              <xdr:spPr>
                <a:xfrm>
                  <a:off x="9239250" y="1816952"/>
                  <a:ext cx="7360920" cy="23726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Table of Contents</a:t>
                  </a:r>
                </a:p>
              </xdr:txBody>
            </xdr:sp>
          </xdr:grpSp>
          <xdr:sp macro="" textlink="">
            <xdr:nvSpPr>
              <xdr:cNvPr id="63" name="TOC_HEADER_LABEL_1">
                <a:extLst>
                  <a:ext uri="{FF2B5EF4-FFF2-40B4-BE49-F238E27FC236}">
                    <a16:creationId xmlns:a16="http://schemas.microsoft.com/office/drawing/2014/main" id="{00000000-0008-0000-0300-00003F000000}"/>
                  </a:ext>
                </a:extLst>
              </xdr:cNvPr>
              <xdr:cNvSpPr txBox="1"/>
            </xdr:nvSpPr>
            <xdr:spPr>
              <a:xfrm>
                <a:off x="830202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64" name="TOC_HEADER_LABEL_1">
                <a:extLst>
                  <a:ext uri="{FF2B5EF4-FFF2-40B4-BE49-F238E27FC236}">
                    <a16:creationId xmlns:a16="http://schemas.microsoft.com/office/drawing/2014/main" id="{00000000-0008-0000-0300-000040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sp macro="" textlink="">
            <xdr:nvSpPr>
              <xdr:cNvPr id="65" name="TOC_HEADER_LABEL_3">
                <a:extLst>
                  <a:ext uri="{FF2B5EF4-FFF2-40B4-BE49-F238E27FC236}">
                    <a16:creationId xmlns:a16="http://schemas.microsoft.com/office/drawing/2014/main" id="{00000000-0008-0000-0300-000041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66" name="TOC_HEADER_LABEL_4">
                <a:extLst>
                  <a:ext uri="{FF2B5EF4-FFF2-40B4-BE49-F238E27FC236}">
                    <a16:creationId xmlns:a16="http://schemas.microsoft.com/office/drawing/2014/main" id="{00000000-0008-0000-0300-000042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grpSp>
        <xdr:cxnSp macro="">
          <xdr:nvCxnSpPr>
            <xdr:cNvPr id="57" name="TOC_HEADER_VLINE">
              <a:extLst>
                <a:ext uri="{FF2B5EF4-FFF2-40B4-BE49-F238E27FC236}">
                  <a16:creationId xmlns:a16="http://schemas.microsoft.com/office/drawing/2014/main" id="{00000000-0008-0000-0300-000039000000}"/>
                </a:ext>
              </a:extLst>
            </xdr:cNvPr>
            <xdr:cNvCxnSpPr>
              <a:endCxn id="67" idx="2"/>
            </xdr:cNvCxnSpPr>
          </xdr:nvCxnSpPr>
          <xdr:spPr>
            <a:xfrm>
              <a:off x="11871960" y="1596774"/>
              <a:ext cx="953" cy="820195"/>
            </a:xfrm>
            <a:prstGeom prst="line">
              <a:avLst/>
            </a:prstGeom>
            <a:ln>
              <a:solidFill>
                <a:schemeClr val="bg1">
                  <a:lumMod val="8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cxnSp macro="">
        <xdr:nvCxnSpPr>
          <xdr:cNvPr id="73" name="DOTTED_LINE">
            <a:extLst>
              <a:ext uri="{FF2B5EF4-FFF2-40B4-BE49-F238E27FC236}">
                <a16:creationId xmlns:a16="http://schemas.microsoft.com/office/drawing/2014/main" id="{00000000-0008-0000-0300-000049000000}"/>
              </a:ext>
            </a:extLst>
          </xdr:cNvPr>
          <xdr:cNvCxnSpPr/>
        </xdr:nvCxnSpPr>
        <xdr:spPr>
          <a:xfrm flipH="1">
            <a:off x="8191500" y="4514853"/>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9525</xdr:colOff>
      <xdr:row>89</xdr:row>
      <xdr:rowOff>0</xdr:rowOff>
    </xdr:from>
    <xdr:ext cx="1028700" cy="210312"/>
    <xdr:sp macro="" textlink="">
      <xdr:nvSpPr>
        <xdr:cNvPr id="2" name="LINK_RENTAL_TOC">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9667875" y="160020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12</xdr:col>
      <xdr:colOff>9525</xdr:colOff>
      <xdr:row>101</xdr:row>
      <xdr:rowOff>0</xdr:rowOff>
    </xdr:from>
    <xdr:ext cx="1028700" cy="210312"/>
    <xdr:sp macro="" textlink="">
      <xdr:nvSpPr>
        <xdr:cNvPr id="3" name="LINK_RENTAL_TOC">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9667875" y="182880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12</xdr:col>
      <xdr:colOff>9525</xdr:colOff>
      <xdr:row>113</xdr:row>
      <xdr:rowOff>0</xdr:rowOff>
    </xdr:from>
    <xdr:ext cx="1028700" cy="210312"/>
    <xdr:sp macro="" textlink="">
      <xdr:nvSpPr>
        <xdr:cNvPr id="4" name="LINK_RENTAL_TOC">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9667875" y="205740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12</xdr:col>
      <xdr:colOff>9525</xdr:colOff>
      <xdr:row>76</xdr:row>
      <xdr:rowOff>0</xdr:rowOff>
    </xdr:from>
    <xdr:ext cx="1028700" cy="210312"/>
    <xdr:sp macro="" textlink="">
      <xdr:nvSpPr>
        <xdr:cNvPr id="5" name="LINK_RENTAL_TOC">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9667875" y="135255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3</xdr:col>
      <xdr:colOff>9525</xdr:colOff>
      <xdr:row>0</xdr:row>
      <xdr:rowOff>28575</xdr:rowOff>
    </xdr:from>
    <xdr:ext cx="1600203" cy="533401"/>
    <xdr:pic>
      <xdr:nvPicPr>
        <xdr:cNvPr id="6" name="Picture 5" descr="2015FHLBNY_Logo_1.75in.png">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104775" y="28575"/>
          <a:ext cx="1600203" cy="533401"/>
        </a:xfrm>
        <a:prstGeom prst="rect">
          <a:avLst/>
        </a:prstGeom>
      </xdr:spPr>
    </xdr:pic>
    <xdr:clientData/>
  </xdr:oneCellAnchor>
  <xdr:oneCellAnchor>
    <xdr:from>
      <xdr:col>12</xdr:col>
      <xdr:colOff>9525</xdr:colOff>
      <xdr:row>137</xdr:row>
      <xdr:rowOff>0</xdr:rowOff>
    </xdr:from>
    <xdr:ext cx="1028700" cy="210312"/>
    <xdr:sp macro="" textlink="">
      <xdr:nvSpPr>
        <xdr:cNvPr id="7" name="LINK_RENTAL_TOC">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9667875" y="251460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12</xdr:col>
      <xdr:colOff>9525</xdr:colOff>
      <xdr:row>126</xdr:row>
      <xdr:rowOff>0</xdr:rowOff>
    </xdr:from>
    <xdr:ext cx="1028700" cy="210312"/>
    <xdr:sp macro="" textlink="">
      <xdr:nvSpPr>
        <xdr:cNvPr id="8" name="LINK_RENTAL_TOC">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9667875" y="230505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twoCellAnchor>
    <xdr:from>
      <xdr:col>8</xdr:col>
      <xdr:colOff>433868</xdr:colOff>
      <xdr:row>24</xdr:row>
      <xdr:rowOff>201029</xdr:rowOff>
    </xdr:from>
    <xdr:to>
      <xdr:col>8</xdr:col>
      <xdr:colOff>488732</xdr:colOff>
      <xdr:row>25</xdr:row>
      <xdr:rowOff>29674</xdr:rowOff>
    </xdr:to>
    <xdr:sp macro="" textlink="">
      <xdr:nvSpPr>
        <xdr:cNvPr id="9" name="Right Triangle 8">
          <a:extLst>
            <a:ext uri="{FF2B5EF4-FFF2-40B4-BE49-F238E27FC236}">
              <a16:creationId xmlns:a16="http://schemas.microsoft.com/office/drawing/2014/main" id="{00000000-0008-0000-0400-000009000000}"/>
            </a:ext>
          </a:extLst>
        </xdr:cNvPr>
        <xdr:cNvSpPr/>
      </xdr:nvSpPr>
      <xdr:spPr>
        <a:xfrm rot="8100000">
          <a:off x="6091718" y="38110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29</xdr:row>
      <xdr:rowOff>201029</xdr:rowOff>
    </xdr:from>
    <xdr:to>
      <xdr:col>8</xdr:col>
      <xdr:colOff>488732</xdr:colOff>
      <xdr:row>30</xdr:row>
      <xdr:rowOff>29674</xdr:rowOff>
    </xdr:to>
    <xdr:sp macro="" textlink="">
      <xdr:nvSpPr>
        <xdr:cNvPr id="10" name="Right Triangle 9">
          <a:extLst>
            <a:ext uri="{FF2B5EF4-FFF2-40B4-BE49-F238E27FC236}">
              <a16:creationId xmlns:a16="http://schemas.microsoft.com/office/drawing/2014/main" id="{00000000-0008-0000-0400-00000A000000}"/>
            </a:ext>
          </a:extLst>
        </xdr:cNvPr>
        <xdr:cNvSpPr/>
      </xdr:nvSpPr>
      <xdr:spPr>
        <a:xfrm rot="8100000">
          <a:off x="6091718" y="5658854"/>
          <a:ext cx="54864" cy="57245"/>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34</xdr:row>
      <xdr:rowOff>201029</xdr:rowOff>
    </xdr:from>
    <xdr:to>
      <xdr:col>8</xdr:col>
      <xdr:colOff>488732</xdr:colOff>
      <xdr:row>35</xdr:row>
      <xdr:rowOff>29674</xdr:rowOff>
    </xdr:to>
    <xdr:sp macro="" textlink="">
      <xdr:nvSpPr>
        <xdr:cNvPr id="11" name="Right Triangle 10">
          <a:extLst>
            <a:ext uri="{FF2B5EF4-FFF2-40B4-BE49-F238E27FC236}">
              <a16:creationId xmlns:a16="http://schemas.microsoft.com/office/drawing/2014/main" id="{00000000-0008-0000-0400-00000B000000}"/>
            </a:ext>
          </a:extLst>
        </xdr:cNvPr>
        <xdr:cNvSpPr/>
      </xdr:nvSpPr>
      <xdr:spPr>
        <a:xfrm rot="8100000">
          <a:off x="6091718" y="57160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39</xdr:row>
      <xdr:rowOff>201029</xdr:rowOff>
    </xdr:from>
    <xdr:to>
      <xdr:col>8</xdr:col>
      <xdr:colOff>488732</xdr:colOff>
      <xdr:row>40</xdr:row>
      <xdr:rowOff>29674</xdr:rowOff>
    </xdr:to>
    <xdr:sp macro="" textlink="">
      <xdr:nvSpPr>
        <xdr:cNvPr id="12" name="Right Triangle 11">
          <a:extLst>
            <a:ext uri="{FF2B5EF4-FFF2-40B4-BE49-F238E27FC236}">
              <a16:creationId xmlns:a16="http://schemas.microsoft.com/office/drawing/2014/main" id="{00000000-0008-0000-0400-00000C000000}"/>
            </a:ext>
          </a:extLst>
        </xdr:cNvPr>
        <xdr:cNvSpPr/>
      </xdr:nvSpPr>
      <xdr:spPr>
        <a:xfrm rot="8100000">
          <a:off x="6091718" y="66685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44</xdr:row>
      <xdr:rowOff>201029</xdr:rowOff>
    </xdr:from>
    <xdr:to>
      <xdr:col>8</xdr:col>
      <xdr:colOff>488732</xdr:colOff>
      <xdr:row>45</xdr:row>
      <xdr:rowOff>29674</xdr:rowOff>
    </xdr:to>
    <xdr:sp macro="" textlink="">
      <xdr:nvSpPr>
        <xdr:cNvPr id="13" name="Right Triangle 12">
          <a:extLst>
            <a:ext uri="{FF2B5EF4-FFF2-40B4-BE49-F238E27FC236}">
              <a16:creationId xmlns:a16="http://schemas.microsoft.com/office/drawing/2014/main" id="{00000000-0008-0000-0400-00000D000000}"/>
            </a:ext>
          </a:extLst>
        </xdr:cNvPr>
        <xdr:cNvSpPr/>
      </xdr:nvSpPr>
      <xdr:spPr>
        <a:xfrm rot="8100000">
          <a:off x="6091718" y="76210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49</xdr:row>
      <xdr:rowOff>201029</xdr:rowOff>
    </xdr:from>
    <xdr:to>
      <xdr:col>8</xdr:col>
      <xdr:colOff>488732</xdr:colOff>
      <xdr:row>50</xdr:row>
      <xdr:rowOff>29674</xdr:rowOff>
    </xdr:to>
    <xdr:sp macro="" textlink="">
      <xdr:nvSpPr>
        <xdr:cNvPr id="14" name="Right Triangle 13">
          <a:extLst>
            <a:ext uri="{FF2B5EF4-FFF2-40B4-BE49-F238E27FC236}">
              <a16:creationId xmlns:a16="http://schemas.microsoft.com/office/drawing/2014/main" id="{00000000-0008-0000-0400-00000E000000}"/>
            </a:ext>
          </a:extLst>
        </xdr:cNvPr>
        <xdr:cNvSpPr/>
      </xdr:nvSpPr>
      <xdr:spPr>
        <a:xfrm rot="8100000">
          <a:off x="6091718" y="85735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xdr:col>
      <xdr:colOff>9525</xdr:colOff>
      <xdr:row>0</xdr:row>
      <xdr:rowOff>28575</xdr:rowOff>
    </xdr:from>
    <xdr:ext cx="1600203" cy="533401"/>
    <xdr:pic>
      <xdr:nvPicPr>
        <xdr:cNvPr id="2" name="Picture 1" descr="2015FHLBNY_Logo_1.75in.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stretch>
          <a:fillRect/>
        </a:stretch>
      </xdr:blipFill>
      <xdr:spPr>
        <a:xfrm>
          <a:off x="104775" y="28575"/>
          <a:ext cx="1600203" cy="533401"/>
        </a:xfrm>
        <a:prstGeom prst="rect">
          <a:avLst/>
        </a:prstGeom>
      </xdr:spPr>
    </xdr:pic>
    <xdr:clientData/>
  </xdr:oneCellAnchor>
  <xdr:oneCellAnchor>
    <xdr:from>
      <xdr:col>3</xdr:col>
      <xdr:colOff>9525</xdr:colOff>
      <xdr:row>0</xdr:row>
      <xdr:rowOff>28575</xdr:rowOff>
    </xdr:from>
    <xdr:ext cx="1600203" cy="533401"/>
    <xdr:pic>
      <xdr:nvPicPr>
        <xdr:cNvPr id="3" name="Picture 2" descr="2015FHLBNY_Logo_1.75in.png">
          <a:hlinkClick xmlns:r="http://schemas.openxmlformats.org/officeDocument/2006/relationships" r:id="rId3"/>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stretch>
          <a:fillRect/>
        </a:stretch>
      </xdr:blipFill>
      <xdr:spPr>
        <a:xfrm>
          <a:off x="4838700" y="28575"/>
          <a:ext cx="1600203" cy="53340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9525</xdr:colOff>
      <xdr:row>0</xdr:row>
      <xdr:rowOff>28575</xdr:rowOff>
    </xdr:from>
    <xdr:ext cx="1600203" cy="533401"/>
    <xdr:pic>
      <xdr:nvPicPr>
        <xdr:cNvPr id="2" name="Picture 1" descr="2015FHLBNY_Logo_1.75in.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stretch>
          <a:fillRect/>
        </a:stretch>
      </xdr:blipFill>
      <xdr:spPr>
        <a:xfrm>
          <a:off x="104775" y="28575"/>
          <a:ext cx="1600203" cy="533401"/>
        </a:xfrm>
        <a:prstGeom prst="rect">
          <a:avLst/>
        </a:prstGeom>
      </xdr:spPr>
    </xdr:pic>
    <xdr:clientData/>
  </xdr:oneCellAnchor>
  <xdr:oneCellAnchor>
    <xdr:from>
      <xdr:col>3</xdr:col>
      <xdr:colOff>9525</xdr:colOff>
      <xdr:row>0</xdr:row>
      <xdr:rowOff>28575</xdr:rowOff>
    </xdr:from>
    <xdr:ext cx="1600203" cy="533401"/>
    <xdr:pic>
      <xdr:nvPicPr>
        <xdr:cNvPr id="3" name="Picture 2" descr="2015FHLBNY_Logo_1.75in.png">
          <a:hlinkClick xmlns:r="http://schemas.openxmlformats.org/officeDocument/2006/relationships" r:id="rId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stretch>
          <a:fillRect/>
        </a:stretch>
      </xdr:blipFill>
      <xdr:spPr>
        <a:xfrm>
          <a:off x="104775" y="28575"/>
          <a:ext cx="1600203" cy="533401"/>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3</xdr:col>
      <xdr:colOff>9525</xdr:colOff>
      <xdr:row>0</xdr:row>
      <xdr:rowOff>28575</xdr:rowOff>
    </xdr:from>
    <xdr:ext cx="1600203" cy="533401"/>
    <xdr:pic>
      <xdr:nvPicPr>
        <xdr:cNvPr id="2" name="Picture 1" descr="2015FHLBNY_Logo_1.75in.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stretch>
          <a:fillRect/>
        </a:stretch>
      </xdr:blipFill>
      <xdr:spPr>
        <a:xfrm>
          <a:off x="104775" y="28575"/>
          <a:ext cx="1600203" cy="533401"/>
        </a:xfrm>
        <a:prstGeom prst="rect">
          <a:avLst/>
        </a:prstGeom>
      </xdr:spPr>
    </xdr:pic>
    <xdr:clientData/>
  </xdr:oneCellAnchor>
  <xdr:oneCellAnchor>
    <xdr:from>
      <xdr:col>3</xdr:col>
      <xdr:colOff>9525</xdr:colOff>
      <xdr:row>0</xdr:row>
      <xdr:rowOff>28575</xdr:rowOff>
    </xdr:from>
    <xdr:ext cx="1600203" cy="533401"/>
    <xdr:pic>
      <xdr:nvPicPr>
        <xdr:cNvPr id="3" name="Picture 2" descr="2015FHLBNY_Logo_1.75in.png">
          <a:hlinkClick xmlns:r="http://schemas.openxmlformats.org/officeDocument/2006/relationships" r:id="rId3"/>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tretch>
          <a:fillRect/>
        </a:stretch>
      </xdr:blipFill>
      <xdr:spPr>
        <a:xfrm>
          <a:off x="104775" y="28575"/>
          <a:ext cx="1600203" cy="533401"/>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3</xdr:col>
      <xdr:colOff>9525</xdr:colOff>
      <xdr:row>0</xdr:row>
      <xdr:rowOff>28575</xdr:rowOff>
    </xdr:from>
    <xdr:ext cx="1600203" cy="533401"/>
    <xdr:pic>
      <xdr:nvPicPr>
        <xdr:cNvPr id="2" name="Picture 1" descr="2015FHLBNY_Logo_1.75in.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stretch>
          <a:fillRect/>
        </a:stretch>
      </xdr:blipFill>
      <xdr:spPr>
        <a:xfrm>
          <a:off x="104775" y="28575"/>
          <a:ext cx="1600203" cy="533401"/>
        </a:xfrm>
        <a:prstGeom prst="rect">
          <a:avLst/>
        </a:prstGeom>
      </xdr:spPr>
    </xdr:pic>
    <xdr:clientData/>
  </xdr:oneCellAnchor>
  <xdr:oneCellAnchor>
    <xdr:from>
      <xdr:col>3</xdr:col>
      <xdr:colOff>9525</xdr:colOff>
      <xdr:row>0</xdr:row>
      <xdr:rowOff>28575</xdr:rowOff>
    </xdr:from>
    <xdr:ext cx="1600203" cy="533401"/>
    <xdr:pic>
      <xdr:nvPicPr>
        <xdr:cNvPr id="3" name="Picture 2" descr="2015FHLBNY_Logo_1.75in.png">
          <a:hlinkClick xmlns:r="http://schemas.openxmlformats.org/officeDocument/2006/relationships" r:id="rId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stretch>
          <a:fillRect/>
        </a:stretch>
      </xdr:blipFill>
      <xdr:spPr>
        <a:xfrm>
          <a:off x="104775" y="28575"/>
          <a:ext cx="1600203" cy="53340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fl/Desktop/temp/deleteme_fhc_101_1.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Enrollment Data"/>
      <sheetName val="$DB.LOOKUP"/>
      <sheetName val="$DB.CONFIG"/>
    </sheetNames>
    <sheetDataSet>
      <sheetData sheetId="0" refreshError="1"/>
      <sheetData sheetId="1" refreshError="1"/>
      <sheetData sheetId="2" refreshError="1"/>
      <sheetData sheetId="3">
        <row r="9">
          <cell r="D9">
            <v>0.8</v>
          </cell>
        </row>
      </sheetData>
    </sheetDataSet>
  </externalBook>
</externalLink>
</file>

<file path=xl/persons/person.xml><?xml version="1.0" encoding="utf-8"?>
<personList xmlns="http://schemas.microsoft.com/office/spreadsheetml/2018/threadedcomments" xmlns:x="http://schemas.openxmlformats.org/spreadsheetml/2006/main">
  <person displayName="Jeff LeSauvage" id="{DDB3E769-D607-4C49-9E5C-88496A9307A2}" userId="1e0a10320848f610"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B_TBL_DATA_FIELDS" displayName="DB_TBL_DATA_FIELDS" ref="A2:Z111" totalsRowShown="0" headerRowDxfId="199" dataDxfId="198">
  <autoFilter ref="A2:Z111" xr:uid="{00000000-0009-0000-0100-000002000000}"/>
  <tableColumns count="26">
    <tableColumn id="10" xr3:uid="{00000000-0010-0000-0000-00000A000000}" name="APPLICABLE_EFORM_LIST" dataDxfId="197"/>
    <tableColumn id="1" xr3:uid="{00000000-0010-0000-0000-000001000000}" name="SHEET_REF_CALC" dataDxfId="196">
      <calculatedColumnFormula>IF('$DB.CONFIG'!$D$3="R",#REF!,DB_TBL_DATA_FIELDS[APPLICABLE_EFORM_LIST])</calculatedColumnFormula>
    </tableColumn>
    <tableColumn id="2" xr3:uid="{00000000-0010-0000-0000-000002000000}" name="FIELD_ID" dataDxfId="195"/>
    <tableColumn id="4" xr3:uid="{00000000-0010-0000-0000-000004000000}" name="FIELD_EXPORT_FLAG" dataDxfId="194"/>
    <tableColumn id="8" xr3:uid="{00000000-0010-0000-0000-000008000000}" name="FIELD_REQ_FLAG" dataDxfId="193"/>
    <tableColumn id="3" xr3:uid="{00000000-0010-0000-0000-000003000000}" name="FIELD_DESC" dataDxfId="192"/>
    <tableColumn id="5" xr3:uid="{00000000-0010-0000-0000-000005000000}" name="FIELD_VALUE_RAW" dataDxfId="191">
      <calculatedColumnFormula>IFERROR(VLOOKUP(DB_TBL_DATA_FIELDS[[#This Row],[FIELD_ID]],INDIRECT(DB_TBL_DATA_FIELDS[[#This Row],[SHEET_REF_CALC]]&amp;"!A:B"),2,FALSE),"")</calculatedColumnFormula>
    </tableColumn>
    <tableColumn id="26" xr3:uid="{00000000-0010-0000-0000-00001A000000}" name="FIELD_VALID_CUSTOM_LOGIC" dataDxfId="190"/>
    <tableColumn id="14" xr3:uid="{00000000-0010-0000-0000-00000E000000}" name="FIELD_EMPTY_FLAG" dataDxfId="189">
      <calculatedColumnFormula>(DB_TBL_DATA_FIELDS[[#This Row],[FIELD_VALUE_RAW]]="")</calculatedColumnFormula>
    </tableColumn>
    <tableColumn id="15" xr3:uid="{00000000-0010-0000-0000-00000F000000}" name="FIELD_TYPE" dataDxfId="188"/>
    <tableColumn id="12" xr3:uid="{00000000-0010-0000-0000-00000C000000}" name="FIELD_VALID_FLAG" dataDxfId="187">
      <calculatedColumnFormula>AND(IF(DB_TBL_DATA_FIELDS[[#This Row],[FIELD_VALID_CUSTOM_LOGIC]]="",TRUE,DB_TBL_DATA_FIELDS[[#This Row],[FIELD_VALID_CUSTOM_LOGIC]]),DB_TBL_DATA_FIELDS[[#This Row],[RANGE_VALIDATION_PASSED_FLAG]])</calculatedColumnFormula>
    </tableColumn>
    <tableColumn id="6" xr3:uid="{00000000-0010-0000-0000-000006000000}" name="FIELD_VALUE_CLEAN" dataDxfId="186">
      <calculatedColumnFormula>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calculatedColumnFormula>
    </tableColumn>
    <tableColumn id="13" xr3:uid="{00000000-0010-0000-0000-00000D000000}" name="FIELD_STATUS_CODE" dataDxfId="185">
      <calculatedColumnFormula>IF(DB_TBL_DATA_FIELDS[[#This Row],[SHEET_REF_CALC]]="","",IF(DB_TBL_DATA_FIELDS[[#This Row],[FIELD_EMPTY_FLAG]],IF(NOT(DB_TBL_DATA_FIELDS[[#This Row],[FIELD_REQ_FLAG]]),-1,1),IF(NOT(DB_TBL_DATA_FIELDS[[#This Row],[FIELD_VALID_FLAG]]),0,2)))</calculatedColumnFormula>
    </tableColumn>
    <tableColumn id="7" xr3:uid="{00000000-0010-0000-0000-000007000000}" name="FIELD_STATUS_DISPLAY" dataDxfId="184">
      <calculatedColumnFormula>IFERROR(VLOOKUP(DB_TBL_DATA_FIELDS[[#This Row],[FIELD_STATUS_CODE]],DB_TBL_CONFIG_FIELDSTATUSCODES[#All],3,FALSE),"")</calculatedColumnFormula>
    </tableColumn>
    <tableColumn id="11" xr3:uid="{00000000-0010-0000-0000-00000B000000}" name="FIELD_STATUS_ICON" dataDxfId="183">
      <calculatedColumnFormula>IFERROR(VLOOKUP(DB_TBL_DATA_FIELDS[[#This Row],[FIELD_STATUS_CODE]],DB_TBL_CONFIG_FIELDSTATUSCODES[#All],4,FALSE),"")</calculatedColumnFormula>
    </tableColumn>
    <tableColumn id="23" xr3:uid="{00000000-0010-0000-0000-000017000000}" name="TRIM_TEXT_FLAG" dataDxfId="182">
      <calculatedColumnFormula>TRUE</calculatedColumnFormula>
    </tableColumn>
    <tableColumn id="24" xr3:uid="{00000000-0010-0000-0000-000018000000}" name="RANGE_VALIDATION_ON_FLAG" dataDxfId="181">
      <calculatedColumnFormula>TRUE</calculatedColumnFormula>
    </tableColumn>
    <tableColumn id="22" xr3:uid="{00000000-0010-0000-0000-000016000000}" name="RANGE_VALIDATION_FLAG" dataDxfId="180"/>
    <tableColumn id="25" xr3:uid="{00000000-0010-0000-0000-000019000000}" name="RANGE_VALUE_LEN" dataDxfId="179">
      <calculatedColumnFormula>IF(DB_TBL_DATA_FIELDS[[#This Row],[RANGE_VALIDATION_FLAG]]="Text",LEN(DB_TBL_DATA_FIELDS[[#This Row],[FIELD_VALUE_RAW]]),IFERROR(VALUE(DB_TBL_DATA_FIELDS[[#This Row],[FIELD_VALUE_RAW]]),-1))</calculatedColumnFormula>
    </tableColumn>
    <tableColumn id="19" xr3:uid="{00000000-0010-0000-0000-000013000000}" name="RANGE_VALIDATION_MIN" dataDxfId="178">
      <calculatedColumnFormula>IF(#REF!="","",VLOOKUP("VMIN_"&amp;#REF!,DB_TBL_CONFIG_APP[#All],4,FALSE))</calculatedColumnFormula>
    </tableColumn>
    <tableColumn id="20" xr3:uid="{00000000-0010-0000-0000-000014000000}" name="RANGE_VALIDATION_MAX" dataDxfId="177">
      <calculatedColumnFormula>IF(#REF!="","",VLOOKUP("VMAX_"&amp;#REF!,DB_TBL_CONFIG_APP[#All],4,FALSE))</calculatedColumnFormula>
    </tableColumn>
    <tableColumn id="21" xr3:uid="{00000000-0010-0000-0000-000015000000}" name="RANGE_VALIDATION_PASSED_FLAG" dataDxfId="176">
      <calculatedColumnFormula>IF(NOT(DB_TBL_DATA_FIELDS[[#This Row],[RANGE_VALIDATION_ON_FLAG]]),TRUE,
AND(DB_TBL_DATA_FIELDS[[#This Row],[RANGE_VALUE_LEN]]&gt;=DB_TBL_DATA_FIELDS[[#This Row],[RANGE_VALIDATION_MIN]],DB_TBL_DATA_FIELDS[[#This Row],[RANGE_VALUE_LEN]]&lt;=DB_TBL_DATA_FIELDS[[#This Row],[RANGE_VALIDATION_MAX]]))</calculatedColumnFormula>
    </tableColumn>
    <tableColumn id="27" xr3:uid="{00000000-0010-0000-0000-00001B000000}" name="PCT_CALC_SHOW_STATUS_CODE" dataDxfId="175"/>
    <tableColumn id="28" xr3:uid="{00000000-0010-0000-0000-00001C000000}" name="PCT_CALC_FIELD_STATUS_CODE" dataDxfId="174">
      <calculatedColumnFormula>IF(DB_TBL_DATA_FIELDS[[#This Row],[PCT_CALC_SHOW_STATUS_CODE]]=1,
DB_TBL_DATA_FIELDS[[#This Row],[FIELD_STATUS_CODE]],
IF(AND(DB_TBL_DATA_FIELDS[[#This Row],[PCT_CALC_SHOW_STATUS_CODE]]=2,DB_TBL_DATA_FIELDS[[#This Row],[FIELD_STATUS_CODE]]=0),
DB_TBL_DATA_FIELDS[[#This Row],[FIELD_STATUS_CODE]],
"")
)</calculatedColumnFormula>
    </tableColumn>
    <tableColumn id="30" xr3:uid="{00000000-0010-0000-0000-00001E000000}" name="ERROR_MESSAGE" dataDxfId="173">
      <calculatedColumnFormula>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calculatedColumnFormula>
    </tableColumn>
    <tableColumn id="18" xr3:uid="{00000000-0010-0000-0000-000012000000}" name="DEVELOPER_COMMENTS" dataDxfId="172"/>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DB_TBL_LOOKUP_EFORM_TYPE" displayName="DB_TBL_LOOKUP_EFORM_TYPE" ref="A2:B5" totalsRowShown="0" headerRowDxfId="171" dataDxfId="170">
  <tableColumns count="2">
    <tableColumn id="4" xr3:uid="{00000000-0010-0000-0100-000004000000}" name="LOOKUP_CODE" dataDxfId="169"/>
    <tableColumn id="2" xr3:uid="{00000000-0010-0000-0100-000002000000}" name="LOOKUP_VALUE" dataDxfId="168"/>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DB_TBL_CONFIG_APP" displayName="DB_TBL_CONFIG_APP" ref="A2:D48" totalsRowShown="0" headerRowDxfId="167" dataDxfId="166">
  <tableColumns count="4">
    <tableColumn id="1" xr3:uid="{00000000-0010-0000-0200-000001000000}" name="CONFIG_VAR" dataDxfId="165"/>
    <tableColumn id="2" xr3:uid="{00000000-0010-0000-0200-000002000000}" name="CONFIG_DESC" dataDxfId="164"/>
    <tableColumn id="3" xr3:uid="{00000000-0010-0000-0200-000003000000}" name="CONFIG_TYPE" dataDxfId="163"/>
    <tableColumn id="4" xr3:uid="{00000000-0010-0000-0200-000004000000}" name="CONFIG_VALUE" dataDxfId="162">
      <calculatedColumnFormula>VLOOKUP("APP_TYPE",DB_TBL_DATA_FIELDS[[#All],[FIELD_ID]:[FIELD_VALUE_CLEAN]],8,FALSE)</calculatedColumnFormula>
    </tableColumn>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B_TBL_CONFIG_FIELDSTATUSCODES" displayName="DB_TBL_CONFIG_FIELDSTATUSCODES" ref="F2:J6" totalsRowShown="0" headerRowDxfId="161" dataDxfId="160">
  <sortState xmlns:xlrd2="http://schemas.microsoft.com/office/spreadsheetml/2017/richdata2" ref="F3:J6">
    <sortCondition ref="F2:F6"/>
  </sortState>
  <tableColumns count="5">
    <tableColumn id="1" xr3:uid="{00000000-0010-0000-0300-000001000000}" name="FIELD_STATUS_CODE" dataDxfId="159"/>
    <tableColumn id="2" xr3:uid="{00000000-0010-0000-0300-000002000000}" name="FIELD_STATUS_DESCRIPTION" dataDxfId="158"/>
    <tableColumn id="5" xr3:uid="{00000000-0010-0000-0300-000005000000}" name="FIELD_STATUS_COMMENT" dataDxfId="157"/>
    <tableColumn id="3" xr3:uid="{00000000-0010-0000-0300-000003000000}" name="FIELD_STATUS_ICON" dataDxfId="156"/>
    <tableColumn id="4" xr3:uid="{00000000-0010-0000-0300-000004000000}" name="FIELD_STATUS_ICON_FONT" dataDxfId="155"/>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B_TBL_CONFIG_WARNINGMSGS" displayName="DB_TBL_CONFIG_WARNINGMSGS" ref="L2:M5" totalsRowShown="0" headerRowDxfId="154" dataDxfId="153">
  <autoFilter ref="L2:M5" xr:uid="{00000000-0009-0000-0100-000006000000}"/>
  <tableColumns count="2">
    <tableColumn id="1" xr3:uid="{00000000-0010-0000-0400-000001000000}" name="WARNINGMSG_ID" dataDxfId="152"/>
    <tableColumn id="2" xr3:uid="{00000000-0010-0000-0400-000002000000}" name="WARNINGMSG_TEXT" dataDxfId="151"/>
  </tableColumns>
  <tableStyleInfo name="TableStyleMedium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DB_TBL_EXPORT_XREF" displayName="DB_TBL_EXPORT_XREF" ref="A1:E2" totalsRowShown="0" headerRowDxfId="150" dataDxfId="148" headerRowBorderDxfId="149" tableBorderDxfId="147" totalsRowBorderDxfId="146">
  <autoFilter ref="A1:E2" xr:uid="{00000000-0009-0000-0100-000007000000}"/>
  <tableColumns count="5">
    <tableColumn id="1" xr3:uid="{00000000-0010-0000-0500-000001000000}" name="EFORM_TYPE_CODE" dataDxfId="145">
      <calculatedColumnFormula>VLOOKUP(A1,DB_TBL_DATA_FIELDS[[FIELD_ID]:[FIELD_VALUE_CLEAN]],10,FALSE)</calculatedColumnFormula>
    </tableColumn>
    <tableColumn id="2" xr3:uid="{00000000-0010-0000-0500-000002000000}" name="EFORM_ID" dataDxfId="144">
      <calculatedColumnFormula>VLOOKUP(B1,DB_TBL_DATA_FIELDS[[FIELD_ID]:[FIELD_VALUE_CLEAN]],10,FALSE)</calculatedColumnFormula>
    </tableColumn>
    <tableColumn id="3" xr3:uid="{00000000-0010-0000-0500-000003000000}" name="EFORM_VERSION_NO" dataDxfId="143">
      <calculatedColumnFormula>VLOOKUP(C1,DB_TBL_DATA_FIELDS[[FIELD_ID]:[FIELD_VALUE_CLEAN]],10,FALSE)</calculatedColumnFormula>
    </tableColumn>
    <tableColumn id="4" xr3:uid="{00000000-0010-0000-0500-000004000000}" name="EFORM_COMPLETE_FLAG" dataDxfId="142">
      <calculatedColumnFormula>VLOOKUP(D1,DB_TBL_DATA_FIELDS[[FIELD_ID]:[FIELD_VALUE_CLEAN]],10,FALSE)</calculatedColumnFormula>
    </tableColumn>
    <tableColumn id="5" xr3:uid="{00000000-0010-0000-0500-000005000000}" name="FHC_PROG_ID" dataDxfId="141">
      <calculatedColumnFormula>CONFIG_FHC_PROG_ID</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DB_TBL_EXPORT_RES" displayName="DB_TBL_EXPORT_RES" ref="A1:BF2" totalsRowShown="0" headerRowDxfId="140" dataDxfId="138" headerRowBorderDxfId="139" tableBorderDxfId="137">
  <tableColumns count="58">
    <tableColumn id="90" xr3:uid="{00000000-0010-0000-0600-00005A000000}" name="EFORM_TYPE_CODE" dataDxfId="136">
      <calculatedColumnFormula>VLOOKUP(A1,DB_TBL_DATA_FIELDS[[FIELD_ID]:[FIELD_VALUE_CLEAN]],10,FALSE)</calculatedColumnFormula>
    </tableColumn>
    <tableColumn id="1" xr3:uid="{00000000-0010-0000-0600-000001000000}" name="EFORM_ID" dataDxfId="135">
      <calculatedColumnFormula>VLOOKUP(B1,DB_TBL_DATA_FIELDS[[FIELD_ID]:[FIELD_VALUE_CLEAN]],10,FALSE)</calculatedColumnFormula>
    </tableColumn>
    <tableColumn id="2" xr3:uid="{00000000-0010-0000-0600-000002000000}" name="EFORM_VERSION_NO" dataDxfId="134">
      <calculatedColumnFormula>VLOOKUP(C1,DB_TBL_DATA_FIELDS[[FIELD_ID]:[FIELD_VALUE_CLEAN]],10,FALSE)</calculatedColumnFormula>
    </tableColumn>
    <tableColumn id="3" xr3:uid="{00000000-0010-0000-0600-000003000000}" name="EFORM_COMPLETE_FLAG" dataDxfId="133">
      <calculatedColumnFormula>VLOOKUP(D1,DB_TBL_DATA_FIELDS[[FIELD_ID]:[FIELD_VALUE_CLEAN]],10,FALSE)</calculatedColumnFormula>
    </tableColumn>
    <tableColumn id="4" xr3:uid="{00000000-0010-0000-0600-000004000000}" name="MEMBER_NAME" dataDxfId="132">
      <calculatedColumnFormula>VLOOKUP(E1,DB_TBL_DATA_FIELDS[[FIELD_ID]:[FIELD_VALUE_CLEAN]],10,FALSE)</calculatedColumnFormula>
    </tableColumn>
    <tableColumn id="5" xr3:uid="{00000000-0010-0000-0600-000005000000}" name="MEMBER_CONTACT_FIRST_NAME" dataDxfId="131">
      <calculatedColumnFormula>VLOOKUP(F1,DB_TBL_DATA_FIELDS[[FIELD_ID]:[FIELD_VALUE_CLEAN]],10,FALSE)</calculatedColumnFormula>
    </tableColumn>
    <tableColumn id="6" xr3:uid="{00000000-0010-0000-0600-000006000000}" name="MEMBER_CONTACT_LAST_NAME" dataDxfId="130">
      <calculatedColumnFormula>VLOOKUP(G1,DB_TBL_DATA_FIELDS[[FIELD_ID]:[FIELD_VALUE_CLEAN]],10,FALSE)</calculatedColumnFormula>
    </tableColumn>
    <tableColumn id="7" xr3:uid="{00000000-0010-0000-0600-000007000000}" name="MEMBER_CONTACT_EMAIL" dataDxfId="129">
      <calculatedColumnFormula>VLOOKUP(H1,DB_TBL_DATA_FIELDS[[FIELD_ID]:[FIELD_VALUE_CLEAN]],10,FALSE)</calculatedColumnFormula>
    </tableColumn>
    <tableColumn id="8" xr3:uid="{00000000-0010-0000-0600-000008000000}" name="MEMBER_CONTACT_PHONE" dataDxfId="128">
      <calculatedColumnFormula>VLOOKUP(I1,DB_TBL_DATA_FIELDS[[FIELD_ID]:[FIELD_VALUE_CLEAN]],10,FALSE)</calculatedColumnFormula>
    </tableColumn>
    <tableColumn id="9" xr3:uid="{00000000-0010-0000-0600-000009000000}" name="PRIM_BORW_PREFIX" dataDxfId="127">
      <calculatedColumnFormula>VLOOKUP(J1,DB_TBL_DATA_FIELDS[[FIELD_ID]:[FIELD_VALUE_CLEAN]],10,FALSE)</calculatedColumnFormula>
    </tableColumn>
    <tableColumn id="10" xr3:uid="{00000000-0010-0000-0600-00000A000000}" name="PRIM_BORW_FIRST_NAME" dataDxfId="126">
      <calculatedColumnFormula>VLOOKUP(K1,DB_TBL_DATA_FIELDS[[FIELD_ID]:[FIELD_VALUE_CLEAN]],10,FALSE)</calculatedColumnFormula>
    </tableColumn>
    <tableColumn id="11" xr3:uid="{00000000-0010-0000-0600-00000B000000}" name="PRIM_BORW_LAST_NAME" dataDxfId="125">
      <calculatedColumnFormula>VLOOKUP(L1,DB_TBL_DATA_FIELDS[[FIELD_ID]:[FIELD_VALUE_CLEAN]],10,FALSE)</calculatedColumnFormula>
    </tableColumn>
    <tableColumn id="12" xr3:uid="{00000000-0010-0000-0600-00000C000000}" name="CO_BORW_PREFIX" dataDxfId="124">
      <calculatedColumnFormula>VLOOKUP(M1,DB_TBL_DATA_FIELDS[[FIELD_ID]:[FIELD_VALUE_CLEAN]],10,FALSE)</calculatedColumnFormula>
    </tableColumn>
    <tableColumn id="13" xr3:uid="{00000000-0010-0000-0600-00000D000000}" name="CO_BORW_FIRST_NAME" dataDxfId="123">
      <calculatedColumnFormula>VLOOKUP(N1,DB_TBL_DATA_FIELDS[[FIELD_ID]:[FIELD_VALUE_CLEAN]],10,FALSE)</calculatedColumnFormula>
    </tableColumn>
    <tableColumn id="14" xr3:uid="{00000000-0010-0000-0600-00000E000000}" name="CO_BORW_LAST_NAME" dataDxfId="122">
      <calculatedColumnFormula>VLOOKUP(O1,DB_TBL_DATA_FIELDS[[FIELD_ID]:[FIELD_VALUE_CLEAN]],10,FALSE)</calculatedColumnFormula>
    </tableColumn>
    <tableColumn id="15" xr3:uid="{00000000-0010-0000-0600-00000F000000}" name="THRD_BORW_PREFIX" dataDxfId="121">
      <calculatedColumnFormula>VLOOKUP(P1,DB_TBL_DATA_FIELDS[[FIELD_ID]:[FIELD_VALUE_CLEAN]],10,FALSE)</calculatedColumnFormula>
    </tableColumn>
    <tableColumn id="16" xr3:uid="{00000000-0010-0000-0600-000010000000}" name="THRD_BORW_FIRST_NAME" dataDxfId="120">
      <calculatedColumnFormula>VLOOKUP(Q1,DB_TBL_DATA_FIELDS[[FIELD_ID]:[FIELD_VALUE_CLEAN]],10,FALSE)</calculatedColumnFormula>
    </tableColumn>
    <tableColumn id="17" xr3:uid="{00000000-0010-0000-0600-000011000000}" name="THRD_BORW_LAST_NAME" dataDxfId="119">
      <calculatedColumnFormula>VLOOKUP(R1,DB_TBL_DATA_FIELDS[[FIELD_ID]:[FIELD_VALUE_CLEAN]],10,FALSE)</calculatedColumnFormula>
    </tableColumn>
    <tableColumn id="18" xr3:uid="{00000000-0010-0000-0600-000012000000}" name="HSEHLD_ADDR" dataDxfId="118">
      <calculatedColumnFormula>VLOOKUP(S1,DB_TBL_DATA_FIELDS[[FIELD_ID]:[FIELD_VALUE_CLEAN]],10,FALSE)</calculatedColumnFormula>
    </tableColumn>
    <tableColumn id="19" xr3:uid="{00000000-0010-0000-0600-000013000000}" name="HSEHLD_CITY_NAME" dataDxfId="117">
      <calculatedColumnFormula>VLOOKUP(T1,DB_TBL_DATA_FIELDS[[FIELD_ID]:[FIELD_VALUE_CLEAN]],10,FALSE)</calculatedColumnFormula>
    </tableColumn>
    <tableColumn id="20" xr3:uid="{00000000-0010-0000-0600-000014000000}" name="HSEHLD_STATE_CODE" dataDxfId="116">
      <calculatedColumnFormula>VLOOKUP(U1,DB_TBL_DATA_FIELDS[[FIELD_ID]:[FIELD_VALUE_CLEAN]],10,FALSE)</calculatedColumnFormula>
    </tableColumn>
    <tableColumn id="21" xr3:uid="{00000000-0010-0000-0600-000015000000}" name="HSEHLD_ZIP_CODE" dataDxfId="115">
      <calculatedColumnFormula>VLOOKUP(V1,DB_TBL_DATA_FIELDS[[FIELD_ID]:[FIELD_VALUE_CLEAN]],10,FALSE)</calculatedColumnFormula>
    </tableColumn>
    <tableColumn id="22" xr3:uid="{00000000-0010-0000-0600-000016000000}" name="HSEHLD_CNTY_NAME" dataDxfId="114">
      <calculatedColumnFormula>VLOOKUP(W1,DB_TBL_DATA_FIELDS[[FIELD_ID]:[FIELD_VALUE_CLEAN]],10,FALSE)</calculatedColumnFormula>
    </tableColumn>
    <tableColumn id="23" xr3:uid="{00000000-0010-0000-0600-000017000000}" name="HSEHLD_MSA_CODE" dataDxfId="113">
      <calculatedColumnFormula>VLOOKUP(X1,DB_TBL_DATA_FIELDS[[FIELD_ID]:[FIELD_VALUE_CLEAN]],10,FALSE)</calculatedColumnFormula>
    </tableColumn>
    <tableColumn id="24" xr3:uid="{00000000-0010-0000-0600-000018000000}" name="HSEHLD_CENSUS_TRACT_CODE" dataDxfId="112">
      <calculatedColumnFormula>VLOOKUP(Y1,DB_TBL_DATA_FIELDS[[FIELD_ID]:[FIELD_VALUE_CLEAN]],10,FALSE)</calculatedColumnFormula>
    </tableColumn>
    <tableColumn id="26" xr3:uid="{00000000-0010-0000-0600-00001A000000}" name="TOTAL_GRANT_REQ_AMT" dataDxfId="111">
      <calculatedColumnFormula>VLOOKUP(Z1,DB_TBL_DATA_FIELDS[[FIELD_ID]:[FIELD_VALUE_CLEAN]],10,FALSE)</calculatedColumnFormula>
    </tableColumn>
    <tableColumn id="27" xr3:uid="{00000000-0010-0000-0600-00001B000000}" name="NONPROF_AGCY_NAME" dataDxfId="110">
      <calculatedColumnFormula>VLOOKUP(AA1,DB_TBL_DATA_FIELDS[[FIELD_ID]:[FIELD_VALUE_CLEAN]],10,FALSE)</calculatedColumnFormula>
    </tableColumn>
    <tableColumn id="28" xr3:uid="{00000000-0010-0000-0600-00001C000000}" name="PROPTY_ADDR" dataDxfId="109">
      <calculatedColumnFormula>VLOOKUP(AB1,DB_TBL_DATA_FIELDS[[FIELD_ID]:[FIELD_VALUE_CLEAN]],10,FALSE)</calculatedColumnFormula>
    </tableColumn>
    <tableColumn id="29" xr3:uid="{00000000-0010-0000-0600-00001D000000}" name="PROPTY_CITY_NAME" dataDxfId="108">
      <calculatedColumnFormula>VLOOKUP(AC1,DB_TBL_DATA_FIELDS[[FIELD_ID]:[FIELD_VALUE_CLEAN]],10,FALSE)</calculatedColumnFormula>
    </tableColumn>
    <tableColumn id="30" xr3:uid="{00000000-0010-0000-0600-00001E000000}" name="PROPTY_STATE_CODE" dataDxfId="107">
      <calculatedColumnFormula>VLOOKUP(AD1,DB_TBL_DATA_FIELDS[[FIELD_ID]:[FIELD_VALUE_CLEAN]],10,FALSE)</calculatedColumnFormula>
    </tableColumn>
    <tableColumn id="31" xr3:uid="{00000000-0010-0000-0600-00001F000000}" name="PROPTY_ZIP_CODE" dataDxfId="106">
      <calculatedColumnFormula>VLOOKUP(AE1,DB_TBL_DATA_FIELDS[[FIELD_ID]:[FIELD_VALUE_CLEAN]],10,FALSE)</calculatedColumnFormula>
    </tableColumn>
    <tableColumn id="32" xr3:uid="{00000000-0010-0000-0600-000020000000}" name="PROPTY_CNTY_NAME" dataDxfId="105">
      <calculatedColumnFormula>VLOOKUP(AF1,DB_TBL_DATA_FIELDS[[FIELD_ID]:[FIELD_VALUE_CLEAN]],10,FALSE)</calculatedColumnFormula>
    </tableColumn>
    <tableColumn id="33" xr3:uid="{00000000-0010-0000-0600-000021000000}" name="PROPTY_MSA_CODE" dataDxfId="104">
      <calculatedColumnFormula>VLOOKUP(AG1,DB_TBL_DATA_FIELDS[[FIELD_ID]:[FIELD_VALUE_CLEAN]],10,FALSE)</calculatedColumnFormula>
    </tableColumn>
    <tableColumn id="34" xr3:uid="{00000000-0010-0000-0600-000022000000}" name="PROPTY_CENSUS_TRACT_CODE" dataDxfId="103">
      <calculatedColumnFormula>VLOOKUP(AH1,DB_TBL_DATA_FIELDS[[FIELD_ID]:[FIELD_VALUE_CLEAN]],10,FALSE)</calculatedColumnFormula>
    </tableColumn>
    <tableColumn id="35" xr3:uid="{00000000-0010-0000-0600-000023000000}" name="PURCH_PRICE_AMT" dataDxfId="102">
      <calculatedColumnFormula>VLOOKUP(AI1,DB_TBL_DATA_FIELDS[[FIELD_ID]:[FIELD_VALUE_CLEAN]],10,FALSE)</calculatedColumnFormula>
    </tableColumn>
    <tableColumn id="36" xr3:uid="{00000000-0010-0000-0600-000024000000}" name="PROPTY_BLDG_TYPE" dataDxfId="101">
      <calculatedColumnFormula>VLOOKUP(AJ1,DB_TBL_DATA_FIELDS[[FIELD_ID]:[FIELD_VALUE_CLEAN]],10,FALSE)</calculatedColumnFormula>
    </tableColumn>
    <tableColumn id="37" xr3:uid="{00000000-0010-0000-0600-000025000000}" name="MANUFACTURED_HOME" dataDxfId="100">
      <calculatedColumnFormula>VLOOKUP(AK1,DB_TBL_DATA_FIELDS[[FIELD_ID]:[FIELD_VALUE_CLEAN]],10,FALSE)</calculatedColumnFormula>
    </tableColumn>
    <tableColumn id="38" xr3:uid="{00000000-0010-0000-0600-000026000000}" name="INC_GUIDLN_CODE" dataDxfId="99">
      <calculatedColumnFormula>VLOOKUP(AL1,DB_TBL_DATA_FIELDS[[FIELD_ID]:[FIELD_VALUE_CLEAN]],10,FALSE)</calculatedColumnFormula>
    </tableColumn>
    <tableColumn id="39" xr3:uid="{00000000-0010-0000-0600-000027000000}" name="FAMILY_SIZE_NO" dataDxfId="98">
      <calculatedColumnFormula>VLOOKUP(AM1,DB_TBL_DATA_FIELDS[[FIELD_ID]:[FIELD_VALUE_CLEAN]],10,FALSE)</calculatedColumnFormula>
    </tableColumn>
    <tableColumn id="40" xr3:uid="{00000000-0010-0000-0600-000028000000}" name="HSEHLD_INC_AMT" dataDxfId="97">
      <calculatedColumnFormula>VLOOKUP(AN1,DB_TBL_DATA_FIELDS[[FIELD_ID]:[FIELD_VALUE_CLEAN]],10,FALSE)</calculatedColumnFormula>
    </tableColumn>
    <tableColumn id="41" xr3:uid="{00000000-0010-0000-0600-000029000000}" name="MAX_ALLOWABLE_INCOME" dataDxfId="96">
      <calculatedColumnFormula>VLOOKUP(AO1,DB_TBL_DATA_FIELDS[[FIELD_ID]:[FIELD_VALUE_CLEAN]],10,FALSE)</calculatedColumnFormula>
    </tableColumn>
    <tableColumn id="42" xr3:uid="{00000000-0010-0000-0600-00002A000000}" name="HSEHLD_INC_PCT_MFI" dataDxfId="95">
      <calculatedColumnFormula>VLOOKUP(AP1,DB_TBL_DATA_FIELDS[[FIELD_ID]:[FIELD_VALUE_CLEAN]],10,FALSE)</calculatedColumnFormula>
    </tableColumn>
    <tableColumn id="44" xr3:uid="{00000000-0010-0000-0600-00002C000000}" name="CNSLNG_COMPLETE_DATE" dataDxfId="94">
      <calculatedColumnFormula>VLOOKUP(AQ1,DB_TBL_DATA_FIELDS[[FIELD_ID]:[FIELD_VALUE_CLEAN]],10,FALSE)</calculatedColumnFormula>
    </tableColumn>
    <tableColumn id="45" xr3:uid="{00000000-0010-0000-0600-00002D000000}" name="FHC_ENROLLED_FLAG" dataDxfId="93">
      <calculatedColumnFormula>VLOOKUP(AR1,DB_TBL_DATA_FIELDS[[FIELD_ID]:[FIELD_VALUE_CLEAN]],10,FALSE)</calculatedColumnFormula>
    </tableColumn>
    <tableColumn id="46" xr3:uid="{00000000-0010-0000-0600-00002E000000}" name="FHC_ENROLLED_HSEHLD_NO" dataDxfId="92">
      <calculatedColumnFormula>VLOOKUP(AS1,DB_TBL_DATA_FIELDS[[FIELD_ID]:[FIELD_VALUE_CLEAN]],10,FALSE)</calculatedColumnFormula>
    </tableColumn>
    <tableColumn id="47" xr3:uid="{00000000-0010-0000-0600-00002F000000}" name="FHA_LETTER_REQ_FLAG" dataDxfId="91">
      <calculatedColumnFormula>VLOOKUP(AT1,DB_TBL_DATA_FIELDS[[FIELD_ID]:[FIELD_VALUE_CLEAN]],10,FALSE)</calculatedColumnFormula>
    </tableColumn>
    <tableColumn id="48" xr3:uid="{00000000-0010-0000-0600-000030000000}" name="PRIM_BORW_MARITAL_STATUS" dataDxfId="90">
      <calculatedColumnFormula>VLOOKUP(AU1,DB_TBL_DATA_FIELDS[[FIELD_ID]:[FIELD_VALUE_CLEAN]],10,FALSE)</calculatedColumnFormula>
    </tableColumn>
    <tableColumn id="49" xr3:uid="{00000000-0010-0000-0600-000031000000}" name="PRIM_BORW_STUDENT_FLAG" dataDxfId="89">
      <calculatedColumnFormula>VLOOKUP(AV1,DB_TBL_DATA_FIELDS[[FIELD_ID]:[FIELD_VALUE_CLEAN]],10,FALSE)</calculatedColumnFormula>
    </tableColumn>
    <tableColumn id="50" xr3:uid="{00000000-0010-0000-0600-000032000000}" name="CO_BORW_MARITAL_STATUS" dataDxfId="88">
      <calculatedColumnFormula>VLOOKUP(AW1,DB_TBL_DATA_FIELDS[[FIELD_ID]:[FIELD_VALUE_CLEAN]],10,FALSE)</calculatedColumnFormula>
    </tableColumn>
    <tableColumn id="51" xr3:uid="{00000000-0010-0000-0600-000033000000}" name="CO_BORW_STUDENT_FLAG" dataDxfId="87">
      <calculatedColumnFormula>VLOOKUP(AX1,DB_TBL_DATA_FIELDS[[FIELD_ID]:[FIELD_VALUE_CLEAN]],10,FALSE)</calculatedColumnFormula>
    </tableColumn>
    <tableColumn id="52" xr3:uid="{00000000-0010-0000-0600-000034000000}" name="THRD_BORW_MARITAL_STATUS" dataDxfId="86">
      <calculatedColumnFormula>VLOOKUP(AY1,DB_TBL_DATA_FIELDS[[FIELD_ID]:[FIELD_VALUE_CLEAN]],10,FALSE)</calculatedColumnFormula>
    </tableColumn>
    <tableColumn id="53" xr3:uid="{00000000-0010-0000-0600-000035000000}" name="THRD_BORW_STUDENT_FLAG" dataDxfId="85">
      <calculatedColumnFormula>VLOOKUP(AZ1,DB_TBL_DATA_FIELDS[[FIELD_ID]:[FIELD_VALUE_CLEAN]],10,FALSE)</calculatedColumnFormula>
    </tableColumn>
    <tableColumn id="54" xr3:uid="{00000000-0010-0000-0600-000036000000}" name="GRANT_REQ_AMT" dataDxfId="84">
      <calculatedColumnFormula>VLOOKUP(BA1,DB_TBL_DATA_FIELDS[[FIELD_ID]:[FIELD_VALUE_CLEAN]],10,FALSE)</calculatedColumnFormula>
    </tableColumn>
    <tableColumn id="55" xr3:uid="{00000000-0010-0000-0600-000037000000}" name="COUSEL_DEFRAY_AMT" dataDxfId="83">
      <calculatedColumnFormula>VLOOKUP(BB1,DB_TBL_DATA_FIELDS[[FIELD_ID]:[FIELD_VALUE_CLEAN]],10,FALSE)</calculatedColumnFormula>
    </tableColumn>
    <tableColumn id="56" xr3:uid="{00000000-0010-0000-0600-000038000000}" name="MEMBER_CONTACT_NAME" dataDxfId="82">
      <calculatedColumnFormula>VLOOKUP(BC1,DB_TBL_DATA_FIELDS[[FIELD_ID]:[FIELD_VALUE_CLEAN]],10,FALSE)</calculatedColumnFormula>
    </tableColumn>
    <tableColumn id="57" xr3:uid="{00000000-0010-0000-0600-000039000000}" name="MEMBER_CONTACT_TITLE" dataDxfId="81">
      <calculatedColumnFormula>VLOOKUP(BD1,DB_TBL_DATA_FIELDS[[FIELD_ID]:[FIELD_VALUE_CLEAN]],10,FALSE)</calculatedColumnFormula>
    </tableColumn>
    <tableColumn id="58" xr3:uid="{00000000-0010-0000-0600-00003A000000}" name="MEMBER_CERTIFICATION_DATE" dataDxfId="80">
      <calculatedColumnFormula>VLOOKUP(BE1,DB_TBL_DATA_FIELDS[[FIELD_ID]:[FIELD_VALUE_CLEAN]],10,FALSE)</calculatedColumnFormula>
    </tableColumn>
    <tableColumn id="25" xr3:uid="{F16C9CDA-3754-42C7-AFB2-3CA72BAFB8C8}" name="PROPTY_CNTY_CODE" dataDxfId="79">
      <calculatedColumnFormula>VLOOKUP(BF1,DB_TBL_DATA_FIELDS[[FIELD_ID]:[FIELD_VALUE_CLEAN]],10,FALSE)</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DB_TBL_EXPORT_DSB" displayName="DB_TBL_EXPORT_DSB" ref="A1:AR2" totalsRowShown="0" headerRowDxfId="78" dataDxfId="76" headerRowBorderDxfId="77" tableBorderDxfId="75" totalsRowBorderDxfId="74">
  <autoFilter ref="A1:AR2" xr:uid="{00000000-0009-0000-0100-000009000000}"/>
  <tableColumns count="44">
    <tableColumn id="1" xr3:uid="{00000000-0010-0000-0700-000001000000}" name="EFORM_TYPE_CODE" dataDxfId="73">
      <calculatedColumnFormula>VLOOKUP(A1,DB_TBL_DATA_FIELDS[[FIELD_ID]:[FIELD_VALUE_CLEAN]],10,FALSE)</calculatedColumnFormula>
    </tableColumn>
    <tableColumn id="2" xr3:uid="{00000000-0010-0000-0700-000002000000}" name="EFORM_ID" dataDxfId="72">
      <calculatedColumnFormula>VLOOKUP(B1,DB_TBL_DATA_FIELDS[[FIELD_ID]:[FIELD_VALUE_CLEAN]],10,FALSE)</calculatedColumnFormula>
    </tableColumn>
    <tableColumn id="3" xr3:uid="{00000000-0010-0000-0700-000003000000}" name="EFORM_VERSION_NO" dataDxfId="71">
      <calculatedColumnFormula>VLOOKUP(C1,DB_TBL_DATA_FIELDS[[FIELD_ID]:[FIELD_VALUE_CLEAN]],10,FALSE)</calculatedColumnFormula>
    </tableColumn>
    <tableColumn id="4" xr3:uid="{00000000-0010-0000-0700-000004000000}" name="EFORM_COMPLETE_FLAG" dataDxfId="70">
      <calculatedColumnFormula>VLOOKUP(D1,DB_TBL_DATA_FIELDS[[FIELD_ID]:[FIELD_VALUE_CLEAN]],10,FALSE)</calculatedColumnFormula>
    </tableColumn>
    <tableColumn id="5" xr3:uid="{00000000-0010-0000-0700-000005000000}" name="MEMBER_NAME" dataDxfId="69">
      <calculatedColumnFormula>VLOOKUP(E1,DB_TBL_DATA_FIELDS[[FIELD_ID]:[FIELD_VALUE_CLEAN]],10,FALSE)</calculatedColumnFormula>
    </tableColumn>
    <tableColumn id="6" xr3:uid="{00000000-0010-0000-0700-000006000000}" name="MEMBER_CONTACT_FIRST_NAME" dataDxfId="68">
      <calculatedColumnFormula>VLOOKUP(F1,DB_TBL_DATA_FIELDS[[FIELD_ID]:[FIELD_VALUE_CLEAN]],10,FALSE)</calculatedColumnFormula>
    </tableColumn>
    <tableColumn id="7" xr3:uid="{00000000-0010-0000-0700-000007000000}" name="MEMBER_CONTACT_LAST_NAME" dataDxfId="67">
      <calculatedColumnFormula>VLOOKUP(G1,DB_TBL_DATA_FIELDS[[FIELD_ID]:[FIELD_VALUE_CLEAN]],10,FALSE)</calculatedColumnFormula>
    </tableColumn>
    <tableColumn id="8" xr3:uid="{00000000-0010-0000-0700-000008000000}" name="MEMBER_CONTACT_EMAIL" dataDxfId="66">
      <calculatedColumnFormula>VLOOKUP(H1,DB_TBL_DATA_FIELDS[[FIELD_ID]:[FIELD_VALUE_CLEAN]],10,FALSE)</calculatedColumnFormula>
    </tableColumn>
    <tableColumn id="9" xr3:uid="{00000000-0010-0000-0700-000009000000}" name="MEMBER_CONTACT_PHONE" dataDxfId="65">
      <calculatedColumnFormula>VLOOKUP(I1,DB_TBL_DATA_FIELDS[[FIELD_ID]:[FIELD_VALUE_CLEAN]],10,FALSE)</calculatedColumnFormula>
    </tableColumn>
    <tableColumn id="10" xr3:uid="{00000000-0010-0000-0700-00000A000000}" name="HSEHLD_NO" dataDxfId="64">
      <calculatedColumnFormula>VLOOKUP(J1,DB_TBL_DATA_FIELDS[[FIELD_ID]:[FIELD_VALUE_CLEAN]],10,FALSE)</calculatedColumnFormula>
    </tableColumn>
    <tableColumn id="11" xr3:uid="{00000000-0010-0000-0700-00000B000000}" name="PRIM_BORW_FIRST_NAME" dataDxfId="63">
      <calculatedColumnFormula>VLOOKUP(K1,DB_TBL_DATA_FIELDS[[FIELD_ID]:[FIELD_VALUE_CLEAN]],10,FALSE)</calculatedColumnFormula>
    </tableColumn>
    <tableColumn id="12" xr3:uid="{00000000-0010-0000-0700-00000C000000}" name="PRIM_BORW_LAST_NAME" dataDxfId="62">
      <calculatedColumnFormula>VLOOKUP(L1,DB_TBL_DATA_FIELDS[[FIELD_ID]:[FIELD_VALUE_CLEAN]],10,FALSE)</calculatedColumnFormula>
    </tableColumn>
    <tableColumn id="13" xr3:uid="{00000000-0010-0000-0700-00000D000000}" name="GRANT_REQ_AMT" dataDxfId="61">
      <calculatedColumnFormula>VLOOKUP(M1,DB_TBL_DATA_FIELDS[[FIELD_ID]:[FIELD_VALUE_CLEAN]],10,FALSE)</calculatedColumnFormula>
    </tableColumn>
    <tableColumn id="14" xr3:uid="{00000000-0010-0000-0700-00000E000000}" name="COUSEL_DEFRAY_AMT" dataDxfId="60">
      <calculatedColumnFormula>VLOOKUP(N1,DB_TBL_DATA_FIELDS[[FIELD_ID]:[FIELD_VALUE_CLEAN]],10,FALSE)</calculatedColumnFormula>
    </tableColumn>
    <tableColumn id="15" xr3:uid="{00000000-0010-0000-0700-00000F000000}" name="TOTAL_GRANT_REQ_AMT" dataDxfId="59">
      <calculatedColumnFormula>VLOOKUP(O1,DB_TBL_DATA_FIELDS[[FIELD_ID]:[FIELD_VALUE_CLEAN]],10,FALSE)</calculatedColumnFormula>
    </tableColumn>
    <tableColumn id="17" xr3:uid="{00000000-0010-0000-0700-000011000000}" name="FHA_LETTER_REQ_FLAG" dataDxfId="58">
      <calculatedColumnFormula>VLOOKUP(P1,DB_TBL_DATA_FIELDS[[FIELD_ID]:[FIELD_VALUE_CLEAN]],10,FALSE)</calculatedColumnFormula>
    </tableColumn>
    <tableColumn id="18" xr3:uid="{00000000-0010-0000-0700-000012000000}" name="DISBURSEMENT_DATE" dataDxfId="57">
      <calculatedColumnFormula>VLOOKUP(Q1,DB_TBL_DATA_FIELDS[[FIELD_ID]:[FIELD_VALUE_CLEAN]],10,FALSE)</calculatedColumnFormula>
    </tableColumn>
    <tableColumn id="19" xr3:uid="{00000000-0010-0000-0700-000013000000}" name="HOUSING_EXP_INC_RATIO" dataDxfId="56">
      <calculatedColumnFormula>VLOOKUP(R1,DB_TBL_DATA_FIELDS[[FIELD_ID]:[FIELD_VALUE_CLEAN]],10,FALSE)</calculatedColumnFormula>
    </tableColumn>
    <tableColumn id="20" xr3:uid="{00000000-0010-0000-0700-000014000000}" name="TOTAL_DEBT_INC_RATIO" dataDxfId="55">
      <calculatedColumnFormula>VLOOKUP(S1,DB_TBL_DATA_FIELDS[[FIELD_ID]:[FIELD_VALUE_CLEAN]],10,FALSE)</calculatedColumnFormula>
    </tableColumn>
    <tableColumn id="21" xr3:uid="{00000000-0010-0000-0700-000015000000}" name="LTV" dataDxfId="54">
      <calculatedColumnFormula>VLOOKUP(T1,DB_TBL_DATA_FIELDS[[FIELD_ID]:[FIELD_VALUE_CLEAN]],10,FALSE)</calculatedColumnFormula>
    </tableColumn>
    <tableColumn id="22" xr3:uid="{00000000-0010-0000-0700-000016000000}" name="HSEHLD_CONTRIBUTION_AMT" dataDxfId="53">
      <calculatedColumnFormula>VLOOKUP(U1,DB_TBL_DATA_FIELDS[[FIELD_ID]:[FIELD_VALUE_CLEAN]],10,FALSE)</calculatedColumnFormula>
    </tableColumn>
    <tableColumn id="23" xr3:uid="{00000000-0010-0000-0700-000017000000}" name="ORIG_CHARGES_AMT" dataDxfId="52">
      <calculatedColumnFormula>VLOOKUP(V1,DB_TBL_DATA_FIELDS[[FIELD_ID]:[FIELD_VALUE_CLEAN]],10,FALSE)</calculatedColumnFormula>
    </tableColumn>
    <tableColumn id="24" xr3:uid="{00000000-0010-0000-0700-000018000000}" name="FIRST_MTG_LOAN_AMT" dataDxfId="51">
      <calculatedColumnFormula>VLOOKUP(W1,DB_TBL_DATA_FIELDS[[FIELD_ID]:[FIELD_VALUE_CLEAN]],10,FALSE)</calculatedColumnFormula>
    </tableColumn>
    <tableColumn id="25" xr3:uid="{00000000-0010-0000-0700-000019000000}" name="FIRST_MTG_LOAN_RATE" dataDxfId="50">
      <calculatedColumnFormula>VLOOKUP(X1,DB_TBL_DATA_FIELDS[[FIELD_ID]:[FIELD_VALUE_CLEAN]],10,FALSE)</calculatedColumnFormula>
    </tableColumn>
    <tableColumn id="26" xr3:uid="{00000000-0010-0000-0700-00001A000000}" name="FIRST_MTG_LOAN_TERM" dataDxfId="49">
      <calculatedColumnFormula>VLOOKUP(Y1,DB_TBL_DATA_FIELDS[[FIELD_ID]:[FIELD_VALUE_CLEAN]],10,FALSE)</calculatedColumnFormula>
    </tableColumn>
    <tableColumn id="27" xr3:uid="{00000000-0010-0000-0700-00001B000000}" name="FIRST_MTG_LOAN_TYPE" dataDxfId="48">
      <calculatedColumnFormula>VLOOKUP(Z1,DB_TBL_DATA_FIELDS[[FIELD_ID]:[FIELD_VALUE_CLEAN]],10,FALSE)</calculatedColumnFormula>
    </tableColumn>
    <tableColumn id="28" xr3:uid="{00000000-0010-0000-0700-00001C000000}" name="FIXED_MTG_LOAN_FLAG" dataDxfId="47">
      <calculatedColumnFormula>VLOOKUP(AA1,DB_TBL_DATA_FIELDS[[FIELD_ID]:[FIELD_VALUE_CLEAN]],10,FALSE)</calculatedColumnFormula>
    </tableColumn>
    <tableColumn id="29" xr3:uid="{00000000-0010-0000-0700-00001D000000}" name="SECOND_MTG_LOAN_AMT" dataDxfId="46">
      <calculatedColumnFormula>VLOOKUP(AB1,DB_TBL_DATA_FIELDS[[FIELD_ID]:[FIELD_VALUE_CLEAN]],10,FALSE)</calculatedColumnFormula>
    </tableColumn>
    <tableColumn id="30" xr3:uid="{00000000-0010-0000-0700-00001E000000}" name="SECOND_MTG_LOAN_RATE" dataDxfId="45">
      <calculatedColumnFormula>VLOOKUP(AC1,DB_TBL_DATA_FIELDS[[FIELD_ID]:[FIELD_VALUE_CLEAN]],10,FALSE)</calculatedColumnFormula>
    </tableColumn>
    <tableColumn id="31" xr3:uid="{00000000-0010-0000-0700-00001F000000}" name="SECOND_MTG_LOAN_TERM" dataDxfId="44">
      <calculatedColumnFormula>VLOOKUP(AD1,DB_TBL_DATA_FIELDS[[FIELD_ID]:[FIELD_VALUE_CLEAN]],10,FALSE)</calculatedColumnFormula>
    </tableColumn>
    <tableColumn id="32" xr3:uid="{00000000-0010-0000-0700-000020000000}" name="FIRST_NON_FHLB_GRANT_SRC" dataDxfId="43">
      <calculatedColumnFormula>VLOOKUP(AE1,DB_TBL_DATA_FIELDS[[FIELD_ID]:[FIELD_VALUE_CLEAN]],10,FALSE)</calculatedColumnFormula>
    </tableColumn>
    <tableColumn id="33" xr3:uid="{00000000-0010-0000-0700-000021000000}" name="FIRST_NON_FHLB_GRANT_AMT" dataDxfId="42">
      <calculatedColumnFormula>VLOOKUP(AF1,DB_TBL_DATA_FIELDS[[FIELD_ID]:[FIELD_VALUE_CLEAN]],10,FALSE)</calculatedColumnFormula>
    </tableColumn>
    <tableColumn id="34" xr3:uid="{00000000-0010-0000-0700-000022000000}" name="SECOND_NON_FHLB_GRANT_SRC" dataDxfId="41">
      <calculatedColumnFormula>VLOOKUP(AG1,DB_TBL_DATA_FIELDS[[FIELD_ID]:[FIELD_VALUE_CLEAN]],10,FALSE)</calculatedColumnFormula>
    </tableColumn>
    <tableColumn id="35" xr3:uid="{00000000-0010-0000-0700-000023000000}" name="SECOND_NON_FHLB_GRANT_AMT" dataDxfId="40">
      <calculatedColumnFormula>VLOOKUP(AH1,DB_TBL_DATA_FIELDS[[FIELD_ID]:[FIELD_VALUE_CLEAN]],10,FALSE)</calculatedColumnFormula>
    </tableColumn>
    <tableColumn id="36" xr3:uid="{00000000-0010-0000-0700-000024000000}" name="THIRD_NON_FHLB_GRANT_SRC" dataDxfId="39">
      <calculatedColumnFormula>VLOOKUP(AI1,DB_TBL_DATA_FIELDS[[FIELD_ID]:[FIELD_VALUE_CLEAN]],10,FALSE)</calculatedColumnFormula>
    </tableColumn>
    <tableColumn id="37" xr3:uid="{00000000-0010-0000-0700-000025000000}" name="THIRD_NON_FHLB_GRANT_AMT" dataDxfId="38">
      <calculatedColumnFormula>VLOOKUP(AJ1,DB_TBL_DATA_FIELDS[[FIELD_ID]:[FIELD_VALUE_CLEAN]],10,FALSE)</calculatedColumnFormula>
    </tableColumn>
    <tableColumn id="38" xr3:uid="{00000000-0010-0000-0700-000026000000}" name="FOURTH_NON_FHLB_GRANT_SRC" dataDxfId="37">
      <calculatedColumnFormula>VLOOKUP(AK1,DB_TBL_DATA_FIELDS[[FIELD_ID]:[FIELD_VALUE_CLEAN]],10,FALSE)</calculatedColumnFormula>
    </tableColumn>
    <tableColumn id="39" xr3:uid="{00000000-0010-0000-0700-000027000000}" name="FOURTH_NON_FHLB_GRANT_AMT" dataDxfId="36">
      <calculatedColumnFormula>VLOOKUP(AL1,DB_TBL_DATA_FIELDS[[FIELD_ID]:[FIELD_VALUE_CLEAN]],10,FALSE)</calculatedColumnFormula>
    </tableColumn>
    <tableColumn id="40" xr3:uid="{00000000-0010-0000-0700-000028000000}" name="OTHER_FHLB_GRANT_SRC" dataDxfId="35">
      <calculatedColumnFormula>VLOOKUP(AM1,DB_TBL_DATA_FIELDS[[FIELD_ID]:[FIELD_VALUE_CLEAN]],10,FALSE)</calculatedColumnFormula>
    </tableColumn>
    <tableColumn id="41" xr3:uid="{00000000-0010-0000-0700-000029000000}" name="OTHER_FHLB_GRANT_AMT" dataDxfId="34">
      <calculatedColumnFormula>VLOOKUP(AN1,DB_TBL_DATA_FIELDS[[FIELD_ID]:[FIELD_VALUE_CLEAN]],10,FALSE)</calculatedColumnFormula>
    </tableColumn>
    <tableColumn id="16" xr3:uid="{00000000-0010-0000-0700-000010000000}" name="EXPLANATION_OF_AFFORDABILITY" dataDxfId="33">
      <calculatedColumnFormula>VLOOKUP(AO1,DB_TBL_DATA_FIELDS[[FIELD_ID]:[FIELD_VALUE_CLEAN]],10,FALSE)</calculatedColumnFormula>
    </tableColumn>
    <tableColumn id="42" xr3:uid="{00000000-0010-0000-0700-00002A000000}" name="MEMBER_CONTACT_NAME" dataDxfId="32">
      <calculatedColumnFormula>VLOOKUP(AP1,DB_TBL_DATA_FIELDS[[FIELD_ID]:[FIELD_VALUE_CLEAN]],10,FALSE)</calculatedColumnFormula>
    </tableColumn>
    <tableColumn id="43" xr3:uid="{00000000-0010-0000-0700-00002B000000}" name="MEMBER_CONTACT_TITLE" dataDxfId="31">
      <calculatedColumnFormula>VLOOKUP(AQ1,DB_TBL_DATA_FIELDS[[FIELD_ID]:[FIELD_VALUE_CLEAN]],10,FALSE)</calculatedColumnFormula>
    </tableColumn>
    <tableColumn id="44" xr3:uid="{00000000-0010-0000-0700-00002C000000}" name="MEMBER_CERTIFICATION_DATE" dataDxfId="30">
      <calculatedColumnFormula>VLOOKUP(AR1,DB_TBL_DATA_FIELDS[[FIELD_ID]:[FIELD_VALUE_CLEAN]],10,FALSE)</calculatedColumnFormula>
    </tableColum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DB_TBL_EXPORT_ADL" displayName="DB_TBL_EXPORT_ADL" ref="A1:Y2" totalsRowShown="0" headerRowDxfId="29" dataDxfId="27" headerRowBorderDxfId="28" tableBorderDxfId="26" totalsRowBorderDxfId="25">
  <autoFilter ref="A1:Y2" xr:uid="{00000000-0009-0000-0100-000008000000}"/>
  <tableColumns count="25">
    <tableColumn id="1" xr3:uid="{00000000-0010-0000-0800-000001000000}" name="EFORM_TYPE_CODE" dataDxfId="24">
      <calculatedColumnFormula>VLOOKUP(A1,DB_TBL_DATA_FIELDS[[FIELD_ID]:[FIELD_VALUE_CLEAN]],10,FALSE)</calculatedColumnFormula>
    </tableColumn>
    <tableColumn id="2" xr3:uid="{00000000-0010-0000-0800-000002000000}" name="EFORM_ID" dataDxfId="23">
      <calculatedColumnFormula>VLOOKUP(B1,DB_TBL_DATA_FIELDS[[FIELD_ID]:[FIELD_VALUE_CLEAN]],10,FALSE)</calculatedColumnFormula>
    </tableColumn>
    <tableColumn id="3" xr3:uid="{00000000-0010-0000-0800-000003000000}" name="EFORM_VERSION_NO" dataDxfId="22">
      <calculatedColumnFormula>VLOOKUP(C1,DB_TBL_DATA_FIELDS[[FIELD_ID]:[FIELD_VALUE_CLEAN]],10,FALSE)</calculatedColumnFormula>
    </tableColumn>
    <tableColumn id="4" xr3:uid="{00000000-0010-0000-0800-000004000000}" name="EFORM_COMPLETE_FLAG" dataDxfId="21">
      <calculatedColumnFormula>VLOOKUP(D1,DB_TBL_DATA_FIELDS[[FIELD_ID]:[FIELD_VALUE_CLEAN]],10,FALSE)</calculatedColumnFormula>
    </tableColumn>
    <tableColumn id="5" xr3:uid="{00000000-0010-0000-0800-000005000000}" name="MEMBER_NAME" dataDxfId="20">
      <calculatedColumnFormula>VLOOKUP(E1,DB_TBL_DATA_FIELDS[[FIELD_ID]:[FIELD_VALUE_CLEAN]],10,FALSE)</calculatedColumnFormula>
    </tableColumn>
    <tableColumn id="6" xr3:uid="{00000000-0010-0000-0800-000006000000}" name="MEMBER_CONTACT_FIRST_NAME" dataDxfId="19">
      <calculatedColumnFormula>VLOOKUP(F1,DB_TBL_DATA_FIELDS[[FIELD_ID]:[FIELD_VALUE_CLEAN]],10,FALSE)</calculatedColumnFormula>
    </tableColumn>
    <tableColumn id="7" xr3:uid="{00000000-0010-0000-0800-000007000000}" name="MEMBER_CONTACT_LAST_NAME" dataDxfId="18">
      <calculatedColumnFormula>VLOOKUP(G1,DB_TBL_DATA_FIELDS[[FIELD_ID]:[FIELD_VALUE_CLEAN]],10,FALSE)</calculatedColumnFormula>
    </tableColumn>
    <tableColumn id="8" xr3:uid="{00000000-0010-0000-0800-000008000000}" name="MEMBER_CONTACT_EMAIL" dataDxfId="17">
      <calculatedColumnFormula>VLOOKUP(H1,DB_TBL_DATA_FIELDS[[FIELD_ID]:[FIELD_VALUE_CLEAN]],10,FALSE)</calculatedColumnFormula>
    </tableColumn>
    <tableColumn id="9" xr3:uid="{00000000-0010-0000-0800-000009000000}" name="MEMBER_CONTACT_PHONE" dataDxfId="16">
      <calculatedColumnFormula>VLOOKUP(I1,DB_TBL_DATA_FIELDS[[FIELD_ID]:[FIELD_VALUE_CLEAN]],10,FALSE)</calculatedColumnFormula>
    </tableColumn>
    <tableColumn id="10" xr3:uid="{00000000-0010-0000-0800-00000A000000}" name="HSEHLD_NO" dataDxfId="15">
      <calculatedColumnFormula>VLOOKUP(J1,DB_TBL_DATA_FIELDS[[FIELD_ID]:[FIELD_VALUE_CLEAN]],10,FALSE)</calculatedColumnFormula>
    </tableColumn>
    <tableColumn id="11" xr3:uid="{00000000-0010-0000-0800-00000B000000}" name="PRIM_BORW_FIRST_NAME" dataDxfId="14">
      <calculatedColumnFormula>VLOOKUP(K1,DB_TBL_DATA_FIELDS[[FIELD_ID]:[FIELD_VALUE_CLEAN]],10,FALSE)</calculatedColumnFormula>
    </tableColumn>
    <tableColumn id="12" xr3:uid="{00000000-0010-0000-0800-00000C000000}" name="PRIM_BORW_LAST_NAME" dataDxfId="13">
      <calculatedColumnFormula>VLOOKUP(L1,DB_TBL_DATA_FIELDS[[FIELD_ID]:[FIELD_VALUE_CLEAN]],10,FALSE)</calculatedColumnFormula>
    </tableColumn>
    <tableColumn id="13" xr3:uid="{00000000-0010-0000-0800-00000D000000}" name="ADL_DESCRIPTION" dataDxfId="12">
      <calculatedColumnFormula>VLOOKUP(M1,DB_TBL_DATA_FIELDS[[FIELD_ID]:[FIELD_VALUE_CLEAN]],10,FALSE)</calculatedColumnFormula>
    </tableColumn>
    <tableColumn id="14" xr3:uid="{00000000-0010-0000-0800-00000E000000}" name="FHA_LETTER_REQ_FLAG" dataDxfId="11">
      <calculatedColumnFormula>VLOOKUP(N1,DB_TBL_DATA_FIELDS[[FIELD_ID]:[FIELD_VALUE_CLEAN]],10,FALSE)</calculatedColumnFormula>
    </tableColumn>
    <tableColumn id="15" xr3:uid="{00000000-0010-0000-0800-00000F000000}" name="ADL_ICW_FLAG" dataDxfId="10">
      <calculatedColumnFormula>VLOOKUP(O1,DB_TBL_DATA_FIELDS[[FIELD_ID]:[FIELD_VALUE_CLEAN]],10,FALSE)</calculatedColumnFormula>
    </tableColumn>
    <tableColumn id="16" xr3:uid="{00000000-0010-0000-0800-000010000000}" name="ADL_ICW_COMPLETION_DATE" dataDxfId="9">
      <calculatedColumnFormula>VLOOKUP(P1,DB_TBL_DATA_FIELDS[[FIELD_ID]:[FIELD_VALUE_CLEAN]],10,FALSE)</calculatedColumnFormula>
    </tableColumn>
    <tableColumn id="17" xr3:uid="{00000000-0010-0000-0800-000011000000}" name="PROPTY_ADDR" dataDxfId="8">
      <calculatedColumnFormula>VLOOKUP(Q1,DB_TBL_DATA_FIELDS[[FIELD_ID]:[FIELD_VALUE_CLEAN]],10,FALSE)</calculatedColumnFormula>
    </tableColumn>
    <tableColumn id="18" xr3:uid="{00000000-0010-0000-0800-000012000000}" name="PROPTY_CITY_NAME" dataDxfId="7">
      <calculatedColumnFormula>VLOOKUP(R1,DB_TBL_DATA_FIELDS[[FIELD_ID]:[FIELD_VALUE_CLEAN]],10,FALSE)</calculatedColumnFormula>
    </tableColumn>
    <tableColumn id="19" xr3:uid="{00000000-0010-0000-0800-000013000000}" name="PROPTY_STATE_CODE" dataDxfId="6">
      <calculatedColumnFormula>VLOOKUP(S1,DB_TBL_DATA_FIELDS[[FIELD_ID]:[FIELD_VALUE_CLEAN]],10,FALSE)</calculatedColumnFormula>
    </tableColumn>
    <tableColumn id="20" xr3:uid="{00000000-0010-0000-0800-000014000000}" name="PROPTY_ZIP_CODE" dataDxfId="5">
      <calculatedColumnFormula>VLOOKUP(T1,DB_TBL_DATA_FIELDS[[FIELD_ID]:[FIELD_VALUE_CLEAN]],10,FALSE)</calculatedColumnFormula>
    </tableColumn>
    <tableColumn id="21" xr3:uid="{00000000-0010-0000-0800-000015000000}" name="FAMILY_SIZE_NO" dataDxfId="4">
      <calculatedColumnFormula>VLOOKUP(U1,DB_TBL_DATA_FIELDS[[FIELD_ID]:[FIELD_VALUE_CLEAN]],10,FALSE)</calculatedColumnFormula>
    </tableColumn>
    <tableColumn id="22" xr3:uid="{00000000-0010-0000-0800-000016000000}" name="HSEHLD_INC_AMT" dataDxfId="3">
      <calculatedColumnFormula>VLOOKUP(V1,DB_TBL_DATA_FIELDS[[FIELD_ID]:[FIELD_VALUE_CLEAN]],10,FALSE)</calculatedColumnFormula>
    </tableColumn>
    <tableColumn id="23" xr3:uid="{00000000-0010-0000-0800-000017000000}" name="MEMBER_CONTACT_NAME" dataDxfId="2">
      <calculatedColumnFormula>VLOOKUP(W1,DB_TBL_DATA_FIELDS[[FIELD_ID]:[FIELD_VALUE_CLEAN]],10,FALSE)</calculatedColumnFormula>
    </tableColumn>
    <tableColumn id="24" xr3:uid="{00000000-0010-0000-0800-000018000000}" name="MEMBER_CONTACT_TITLE" dataDxfId="1">
      <calculatedColumnFormula>VLOOKUP(X1,DB_TBL_DATA_FIELDS[[FIELD_ID]:[FIELD_VALUE_CLEAN]],10,FALSE)</calculatedColumnFormula>
    </tableColumn>
    <tableColumn id="25" xr3:uid="{00000000-0010-0000-0800-000019000000}" name="MEMBER_CERTIFICATION_DATE" dataDxfId="0">
      <calculatedColumnFormula>VLOOKUP(Y1,DB_TBL_DATA_FIELDS[[FIELD_ID]:[FIELD_VALUE_CLEAN]],10,FALSE)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03" dT="2023-01-24T14:28:09.64" personId="{DDB3E769-D607-4C49-9E5C-88496A9307A2}" id="{A2873742-DBC3-4BCF-935F-3E1966EC1720}">
    <text>COPY &amp; PASTE for HUD income limits must be done ONE COLUMN AT A TIME
Please always use Paste 'Values Only' when pasting income limit 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5.v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13.bin"/><Relationship Id="rId4" Type="http://schemas.openxmlformats.org/officeDocument/2006/relationships/table" Target="../tables/table5.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L30"/>
  <sheetViews>
    <sheetView showGridLines="0" showRowColHeaders="0" tabSelected="1" topLeftCell="C1" workbookViewId="0">
      <selection activeCell="E12" sqref="E12:E13"/>
    </sheetView>
  </sheetViews>
  <sheetFormatPr defaultColWidth="0" defaultRowHeight="15" zeroHeight="1" x14ac:dyDescent="0.25"/>
  <cols>
    <col min="1" max="1" width="24.7109375" style="9" hidden="1" customWidth="1"/>
    <col min="2" max="2" width="33.28515625" style="9" hidden="1" customWidth="1"/>
    <col min="3" max="3" width="2.42578125" style="6" customWidth="1"/>
    <col min="4" max="4" width="20.7109375" style="6" customWidth="1"/>
    <col min="5" max="5" width="77.7109375" style="6" customWidth="1"/>
    <col min="6" max="6" width="20.7109375" style="6" customWidth="1"/>
    <col min="7" max="7" width="2.42578125" style="6" customWidth="1"/>
    <col min="8" max="12" width="0" style="6" hidden="1" customWidth="1"/>
    <col min="13" max="16384" width="9.140625" style="6" hidden="1"/>
  </cols>
  <sheetData>
    <row r="1" spans="1:7" ht="24.75" customHeight="1" x14ac:dyDescent="0.25">
      <c r="A1" s="27" t="s">
        <v>182</v>
      </c>
      <c r="B1" s="27" t="s">
        <v>181</v>
      </c>
    </row>
    <row r="2" spans="1:7" x14ac:dyDescent="0.25">
      <c r="A2" s="113" t="s">
        <v>2379</v>
      </c>
      <c r="B2" s="114" t="str">
        <f>CONFIG_SA_PROGRAM_NAME&amp;CONFIG_TRADEMARK_ID&amp;" "&amp;"Request Form - "&amp;CONFIG_ENROLL_PERD_DESC</f>
        <v>Homebuyer Dream Program® Request Form - 2023 Round</v>
      </c>
    </row>
    <row r="3" spans="1:7" x14ac:dyDescent="0.25">
      <c r="A3" s="113" t="s">
        <v>2218</v>
      </c>
      <c r="B3" s="114" t="str">
        <f>INDEX(DB_TBL_LOOKUP_EFORM_TYPE[LOOKUP_CODE],WELCOME!B4)</f>
        <v>RES</v>
      </c>
    </row>
    <row r="4" spans="1:7" ht="23.25" customHeight="1" x14ac:dyDescent="0.25">
      <c r="A4" s="113" t="s">
        <v>2242</v>
      </c>
      <c r="B4" s="115">
        <v>1</v>
      </c>
    </row>
    <row r="5" spans="1:7" ht="20.100000000000001" customHeight="1" x14ac:dyDescent="0.4">
      <c r="A5" s="28" t="s">
        <v>2221</v>
      </c>
      <c r="B5" s="11" t="str">
        <f>INDEX(DB_TBL_LOOKUP_EFORM_TYPE[LOOKUP_VALUE],MATCH(WELCOME!B3,DB_TBL_LOOKUP_EFORM_TYPE[LOOKUP_CODE],0))</f>
        <v>New Household Reservation Request</v>
      </c>
      <c r="C5" s="269"/>
      <c r="D5" s="270"/>
      <c r="E5" s="270"/>
      <c r="F5" s="270"/>
      <c r="G5" s="270"/>
    </row>
    <row r="6" spans="1:7" ht="26.25" x14ac:dyDescent="0.4">
      <c r="A6" s="28" t="s">
        <v>37</v>
      </c>
      <c r="B6" s="11" t="str">
        <f>"Initiate "&amp;B5</f>
        <v>Initiate New Household Reservation Request</v>
      </c>
      <c r="D6" s="278" t="s">
        <v>2419</v>
      </c>
      <c r="E6" s="278"/>
      <c r="F6" s="278"/>
      <c r="G6" s="116"/>
    </row>
    <row r="7" spans="1:7" ht="20.100000000000001" customHeight="1" x14ac:dyDescent="0.25">
      <c r="A7" s="28" t="s">
        <v>38</v>
      </c>
      <c r="B7" s="11" t="str">
        <f>VLOOKUP("WORKFLOW_START_"&amp;WELCOME!B3,DB_TBL_CONFIG_APP[#All],4,FALSE)</f>
        <v>TARGET_RES_1</v>
      </c>
      <c r="D7" s="112"/>
      <c r="E7" s="273"/>
      <c r="F7" s="273"/>
    </row>
    <row r="8" spans="1:7" s="111" customFormat="1" ht="30" customHeight="1" x14ac:dyDescent="0.2">
      <c r="A8" s="28" t="s">
        <v>2175</v>
      </c>
      <c r="B8" s="11" t="str">
        <f>'$DB.CONFIG'!D36</f>
        <v>http://www.fhlbny.com/hdp</v>
      </c>
      <c r="D8" s="277" t="s">
        <v>2891</v>
      </c>
      <c r="E8" s="277"/>
      <c r="F8" s="277"/>
    </row>
    <row r="9" spans="1:7" s="111" customFormat="1" ht="30" customHeight="1" x14ac:dyDescent="0.2">
      <c r="A9" s="28" t="s">
        <v>2174</v>
      </c>
      <c r="B9" s="11" t="str">
        <f>'$DB.CONFIG'!D37</f>
        <v>FHLBNY Homebuyer Dream Program (HDP) Webpage</v>
      </c>
      <c r="D9" s="277" t="s">
        <v>2884</v>
      </c>
      <c r="E9" s="277"/>
      <c r="F9" s="277"/>
    </row>
    <row r="10" spans="1:7" s="111" customFormat="1" ht="30" customHeight="1" x14ac:dyDescent="0.2">
      <c r="A10" s="28" t="s">
        <v>2176</v>
      </c>
      <c r="B10" s="11" t="str">
        <f>'$DB.CONFIG'!D38</f>
        <v/>
      </c>
      <c r="D10" s="277" t="s">
        <v>2892</v>
      </c>
      <c r="E10" s="277"/>
      <c r="F10" s="277"/>
    </row>
    <row r="11" spans="1:7" ht="30" customHeight="1" x14ac:dyDescent="0.25">
      <c r="A11" s="28" t="s">
        <v>2177</v>
      </c>
      <c r="B11" s="11" t="str">
        <f>'$DB.CONFIG'!D39</f>
        <v/>
      </c>
      <c r="D11" s="8"/>
      <c r="E11" s="32"/>
      <c r="F11" s="32"/>
    </row>
    <row r="12" spans="1:7" ht="18.75" customHeight="1" x14ac:dyDescent="0.25">
      <c r="A12" s="28" t="s">
        <v>2178</v>
      </c>
      <c r="B12" s="11" t="str">
        <f>'$DB.CONFIG'!D40</f>
        <v/>
      </c>
      <c r="E12" s="274" t="str">
        <f>HYPERLINK("#"&amp;$B$7,$B$6)</f>
        <v>Initiate New Household Reservation Request</v>
      </c>
      <c r="F12" s="32"/>
    </row>
    <row r="13" spans="1:7" ht="21" x14ac:dyDescent="0.25">
      <c r="A13" s="28" t="s">
        <v>2179</v>
      </c>
      <c r="B13" s="11" t="str">
        <f>'$DB.CONFIG'!D41</f>
        <v/>
      </c>
      <c r="D13" s="8"/>
      <c r="E13" s="274"/>
      <c r="F13" s="32"/>
    </row>
    <row r="14" spans="1:7" ht="30" customHeight="1" x14ac:dyDescent="0.25">
      <c r="A14" s="28" t="s">
        <v>2180</v>
      </c>
      <c r="B14" s="11" t="str">
        <f>'$DB.CONFIG'!D42</f>
        <v/>
      </c>
      <c r="D14" s="8"/>
      <c r="E14" s="7"/>
    </row>
    <row r="15" spans="1:7" ht="30.75" customHeight="1" x14ac:dyDescent="0.25">
      <c r="A15" s="28" t="s">
        <v>2181</v>
      </c>
      <c r="B15" s="11" t="str">
        <f>'$DB.CONFIG'!D43</f>
        <v/>
      </c>
      <c r="D15" s="281" t="s">
        <v>2926</v>
      </c>
      <c r="E15" s="281"/>
      <c r="F15" s="281"/>
    </row>
    <row r="16" spans="1:7" ht="30" customHeight="1" x14ac:dyDescent="0.25">
      <c r="A16" s="28" t="s">
        <v>2182</v>
      </c>
      <c r="B16" s="11" t="str">
        <f>'$DB.CONFIG'!D44</f>
        <v/>
      </c>
    </row>
    <row r="17" spans="1:7" ht="21.75" customHeight="1" x14ac:dyDescent="0.25">
      <c r="A17" s="28" t="s">
        <v>2183</v>
      </c>
      <c r="B17" s="11" t="str">
        <f>'$DB.CONFIG'!D45</f>
        <v/>
      </c>
      <c r="C17" s="279" t="s">
        <v>2355</v>
      </c>
      <c r="D17" s="280"/>
      <c r="E17" s="280"/>
      <c r="F17" s="280"/>
      <c r="G17" s="280"/>
    </row>
    <row r="18" spans="1:7" ht="21.95" customHeight="1" x14ac:dyDescent="0.25">
      <c r="A18" s="28" t="s">
        <v>2184</v>
      </c>
      <c r="B18" s="11" t="str">
        <f>'$DB.CONFIG'!D46</f>
        <v/>
      </c>
      <c r="C18" s="94">
        <f>IF(D18&lt;&gt;"",0,"")</f>
        <v>0</v>
      </c>
      <c r="D18" s="271" t="str">
        <f>IF(B8&lt;&gt;"",HYPERLINK(B8,IF(B9&lt;&gt;"",B9,B8)),"")</f>
        <v>FHLBNY Homebuyer Dream Program (HDP) Webpage</v>
      </c>
      <c r="E18" s="272"/>
      <c r="F18" s="272"/>
      <c r="G18" s="93"/>
    </row>
    <row r="19" spans="1:7" ht="21.95" customHeight="1" x14ac:dyDescent="0.25">
      <c r="A19" s="28" t="s">
        <v>2185</v>
      </c>
      <c r="B19" s="11" t="str">
        <f>'$DB.CONFIG'!D47</f>
        <v/>
      </c>
      <c r="C19" s="94" t="str">
        <f t="shared" ref="C19:C23" si="0">IF(D19&lt;&gt;"",0,"")</f>
        <v/>
      </c>
      <c r="D19" s="271" t="str">
        <f>IF(B10&lt;&gt;"",HYPERLINK(B10,IF(B11&lt;&gt;"",B11,B10)),"")</f>
        <v/>
      </c>
      <c r="E19" s="272"/>
      <c r="F19" s="272"/>
      <c r="G19" s="93"/>
    </row>
    <row r="20" spans="1:7" ht="21.95" customHeight="1" x14ac:dyDescent="0.25">
      <c r="A20" s="28"/>
      <c r="B20" s="11"/>
      <c r="C20" s="94" t="str">
        <f t="shared" si="0"/>
        <v/>
      </c>
      <c r="D20" s="271" t="str">
        <f>IF(B12&lt;&gt;"",HYPERLINK(B12,IF(B13&lt;&gt;"",B13,B12)),"")</f>
        <v/>
      </c>
      <c r="E20" s="272"/>
      <c r="F20" s="272"/>
      <c r="G20" s="93"/>
    </row>
    <row r="21" spans="1:7" ht="21.95" customHeight="1" x14ac:dyDescent="0.25">
      <c r="A21" s="28"/>
      <c r="B21" s="11"/>
      <c r="C21" s="94" t="str">
        <f t="shared" si="0"/>
        <v/>
      </c>
      <c r="D21" s="271" t="str">
        <f>IF(B14&lt;&gt;"",HYPERLINK(B14,IF(B15&lt;&gt;"",B15,B14)),"")</f>
        <v/>
      </c>
      <c r="E21" s="272"/>
      <c r="F21" s="272"/>
      <c r="G21" s="93"/>
    </row>
    <row r="22" spans="1:7" ht="21.95" customHeight="1" x14ac:dyDescent="0.25">
      <c r="A22" s="28"/>
      <c r="B22" s="11"/>
      <c r="C22" s="94" t="str">
        <f t="shared" si="0"/>
        <v/>
      </c>
      <c r="D22" s="271" t="str">
        <f>IF(B16&lt;&gt;"",HYPERLINK(B16,IF(B17&lt;&gt;"",B17,B16)),"")</f>
        <v/>
      </c>
      <c r="E22" s="272"/>
      <c r="F22" s="272"/>
      <c r="G22" s="93"/>
    </row>
    <row r="23" spans="1:7" ht="21.95" customHeight="1" x14ac:dyDescent="0.25">
      <c r="A23" s="28"/>
      <c r="B23" s="11"/>
      <c r="C23" s="94" t="str">
        <f t="shared" si="0"/>
        <v/>
      </c>
      <c r="D23" s="271" t="str">
        <f>IF(B18&lt;&gt;"",HYPERLINK(B18,IF(B19&lt;&gt;"",B19,B18)),"")</f>
        <v/>
      </c>
      <c r="E23" s="272"/>
      <c r="F23" s="272"/>
      <c r="G23" s="93"/>
    </row>
    <row r="24" spans="1:7" ht="21.95" customHeight="1" x14ac:dyDescent="0.25">
      <c r="A24" s="28"/>
      <c r="B24" s="11"/>
      <c r="C24" s="275" t="str">
        <f>CONFIG_EFORM_DOC_ID_NAME</f>
        <v>HDP-005: Homebuyer Dream Program Request Form</v>
      </c>
      <c r="D24" s="276"/>
      <c r="E24" s="276"/>
      <c r="F24" s="276"/>
      <c r="G24" s="276"/>
    </row>
    <row r="25" spans="1:7" ht="21.95" hidden="1" customHeight="1" x14ac:dyDescent="0.25">
      <c r="A25" s="28"/>
      <c r="B25" s="11"/>
    </row>
    <row r="26" spans="1:7" ht="21.95" hidden="1" customHeight="1" x14ac:dyDescent="0.25"/>
    <row r="27" spans="1:7" ht="21.95" hidden="1" customHeight="1" x14ac:dyDescent="0.25"/>
    <row r="28" spans="1:7" ht="21.95" hidden="1" customHeight="1" x14ac:dyDescent="0.25"/>
    <row r="29" spans="1:7" ht="21.95" hidden="1" customHeight="1" x14ac:dyDescent="0.25"/>
    <row r="30" spans="1:7" ht="21.95" hidden="1" customHeight="1" x14ac:dyDescent="0.25"/>
  </sheetData>
  <sheetProtection algorithmName="SHA-512" hashValue="LTCJgzOECDk5THxYb0M/EWd+aQvOJ6z9HaDKmnqj/LMgIBui4crh2rDPAxxgXXtWd8p0KeTtSFSUUMh5eUhSfg==" saltValue="sXPSclfkdmgw6Gf2x77bug==" spinCount="100000" sheet="1" objects="1" scenarios="1"/>
  <mergeCells count="16">
    <mergeCell ref="C5:G5"/>
    <mergeCell ref="D18:F18"/>
    <mergeCell ref="E7:F7"/>
    <mergeCell ref="E12:E13"/>
    <mergeCell ref="C24:G24"/>
    <mergeCell ref="D8:F8"/>
    <mergeCell ref="D9:F9"/>
    <mergeCell ref="D10:F10"/>
    <mergeCell ref="D6:F6"/>
    <mergeCell ref="C17:G17"/>
    <mergeCell ref="D19:F19"/>
    <mergeCell ref="D20:F20"/>
    <mergeCell ref="D21:F21"/>
    <mergeCell ref="D22:F22"/>
    <mergeCell ref="D23:F23"/>
    <mergeCell ref="D15:F15"/>
  </mergeCells>
  <conditionalFormatting sqref="C18:C23">
    <cfRule type="iconSet" priority="6">
      <iconSet iconSet="4RedToBlack" showValue="0">
        <cfvo type="percent" val="0"/>
        <cfvo type="num" val="0"/>
        <cfvo type="num" val="1"/>
        <cfvo type="num" val="2"/>
      </iconSet>
    </cfRule>
  </conditionalFormatting>
  <conditionalFormatting sqref="D8">
    <cfRule type="expression" dxfId="264" priority="1483">
      <formula>$B$4=1</formula>
    </cfRule>
  </conditionalFormatting>
  <conditionalFormatting sqref="D9">
    <cfRule type="expression" dxfId="263" priority="1484">
      <formula>$B$4=2</formula>
    </cfRule>
  </conditionalFormatting>
  <conditionalFormatting sqref="D10">
    <cfRule type="expression" dxfId="262" priority="1485">
      <formula>$B$4=3</formula>
    </cfRule>
  </conditionalFormatting>
  <pageMargins left="0.7" right="0.7" top="0.75" bottom="0.75" header="0.3" footer="0.3"/>
  <pageSetup scale="70" orientation="portrait" r:id="rId1"/>
  <headerFooter>
    <oddFooter>&amp;L&amp;8AHP/APP-001: Affordable Housing Program Application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APP_TYPE_RENTAL">
              <controlPr defaultSize="0" autoFill="0" autoLine="0" autoPict="0">
                <anchor moveWithCells="1">
                  <from>
                    <xdr:col>3</xdr:col>
                    <xdr:colOff>9525</xdr:colOff>
                    <xdr:row>7</xdr:row>
                    <xdr:rowOff>9525</xdr:rowOff>
                  </from>
                  <to>
                    <xdr:col>5</xdr:col>
                    <xdr:colOff>1371600</xdr:colOff>
                    <xdr:row>8</xdr:row>
                    <xdr:rowOff>0</xdr:rowOff>
                  </to>
                </anchor>
              </controlPr>
            </control>
          </mc:Choice>
        </mc:AlternateContent>
        <mc:AlternateContent xmlns:mc="http://schemas.openxmlformats.org/markup-compatibility/2006">
          <mc:Choice Requires="x14">
            <control shapeId="9221" r:id="rId5" name="APP_TYPE_OWNER">
              <controlPr defaultSize="0" autoFill="0" autoLine="0" autoPict="0">
                <anchor moveWithCells="1">
                  <from>
                    <xdr:col>3</xdr:col>
                    <xdr:colOff>9525</xdr:colOff>
                    <xdr:row>8</xdr:row>
                    <xdr:rowOff>9525</xdr:rowOff>
                  </from>
                  <to>
                    <xdr:col>5</xdr:col>
                    <xdr:colOff>1371600</xdr:colOff>
                    <xdr:row>9</xdr:row>
                    <xdr:rowOff>0</xdr:rowOff>
                  </to>
                </anchor>
              </controlPr>
            </control>
          </mc:Choice>
        </mc:AlternateContent>
        <mc:AlternateContent xmlns:mc="http://schemas.openxmlformats.org/markup-compatibility/2006">
          <mc:Choice Requires="x14">
            <control shapeId="9223" r:id="rId6" name="Option Button 7">
              <controlPr defaultSize="0" autoFill="0" autoLine="0" autoPict="0">
                <anchor moveWithCells="1">
                  <from>
                    <xdr:col>3</xdr:col>
                    <xdr:colOff>9525</xdr:colOff>
                    <xdr:row>9</xdr:row>
                    <xdr:rowOff>9525</xdr:rowOff>
                  </from>
                  <to>
                    <xdr:col>5</xdr:col>
                    <xdr:colOff>1371600</xdr:colOff>
                    <xdr:row>10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C241"/>
  <sheetViews>
    <sheetView showGridLines="0" showRowColHeaders="0" topLeftCell="C1" zoomScaleNormal="100" workbookViewId="0">
      <pane ySplit="2" topLeftCell="A3" activePane="bottomLeft" state="frozen"/>
      <selection activeCell="I2" sqref="I2:L2"/>
      <selection pane="bottomLeft" activeCell="I2" sqref="I2:L2"/>
    </sheetView>
  </sheetViews>
  <sheetFormatPr defaultColWidth="0" defaultRowHeight="15" zeroHeight="1" x14ac:dyDescent="0.25"/>
  <cols>
    <col min="1" max="1" width="14.7109375" hidden="1" customWidth="1"/>
    <col min="2" max="2" width="17.28515625" hidden="1" customWidth="1"/>
    <col min="3" max="3" width="2.42578125" customWidth="1"/>
    <col min="4" max="4" width="8.7109375" customWidth="1"/>
    <col min="5" max="5" width="2.7109375" customWidth="1"/>
    <col min="6" max="6" width="10.7109375" customWidth="1"/>
    <col min="7" max="7" width="2.7109375" customWidth="1"/>
    <col min="8" max="8" width="8.7109375" customWidth="1"/>
    <col min="9" max="9" width="2.7109375" customWidth="1"/>
    <col min="10" max="10" width="8.7109375" customWidth="1"/>
    <col min="11" max="11" width="2.7109375" customWidth="1"/>
    <col min="12" max="12" width="8.7109375" customWidth="1"/>
    <col min="13" max="13" width="2.7109375" customWidth="1"/>
    <col min="14" max="14" width="8.7109375" customWidth="1"/>
    <col min="15" max="15" width="2.7109375" customWidth="1"/>
    <col min="16" max="16" width="8.7109375" customWidth="1"/>
    <col min="17" max="17" width="2.7109375" customWidth="1"/>
    <col min="18" max="18" width="8.7109375" customWidth="1"/>
    <col min="19" max="19" width="2.7109375" customWidth="1"/>
    <col min="20" max="20" width="8.7109375" customWidth="1"/>
    <col min="21" max="21" width="2.7109375" customWidth="1"/>
    <col min="22" max="22" width="8.7109375" customWidth="1"/>
    <col min="23" max="23" width="2.7109375" customWidth="1"/>
    <col min="24" max="24" width="8.7109375" customWidth="1"/>
    <col min="25" max="25" width="2.7109375" customWidth="1"/>
    <col min="26" max="26" width="2.42578125" customWidth="1"/>
    <col min="27" max="29" width="0" hidden="1" customWidth="1"/>
    <col min="30" max="16384" width="9.140625" hidden="1"/>
  </cols>
  <sheetData>
    <row r="1" spans="1:29" ht="40.5" customHeight="1" thickBot="1" x14ac:dyDescent="0.3">
      <c r="A1" s="41"/>
      <c r="B1" s="41"/>
      <c r="C1" s="35"/>
      <c r="D1" s="35"/>
      <c r="E1" s="36"/>
      <c r="F1" s="35"/>
      <c r="G1" s="36"/>
      <c r="H1" s="36"/>
      <c r="I1" s="36"/>
      <c r="J1" s="35"/>
      <c r="K1" s="36"/>
      <c r="L1" s="35"/>
      <c r="M1" s="36"/>
      <c r="N1" s="36"/>
      <c r="O1" s="36"/>
      <c r="P1" s="36"/>
      <c r="Q1" s="36"/>
      <c r="R1" s="35"/>
      <c r="S1" s="36"/>
      <c r="T1" s="35"/>
      <c r="U1" s="36"/>
      <c r="V1" s="35"/>
      <c r="W1" s="36"/>
      <c r="X1" s="35"/>
      <c r="Y1" s="36"/>
      <c r="Z1" s="35"/>
    </row>
    <row r="2" spans="1:29" ht="21" customHeight="1" x14ac:dyDescent="0.25">
      <c r="A2" s="41"/>
      <c r="B2" s="41"/>
      <c r="C2" s="37"/>
      <c r="D2" s="38" t="s">
        <v>194</v>
      </c>
      <c r="E2" s="37"/>
      <c r="F2" s="37"/>
      <c r="G2" s="37"/>
      <c r="H2" s="37"/>
      <c r="I2" s="37"/>
      <c r="J2" s="37"/>
      <c r="K2" s="37"/>
      <c r="L2" s="37"/>
      <c r="M2" s="37"/>
      <c r="N2" s="37"/>
      <c r="O2" s="37"/>
      <c r="P2" s="37"/>
      <c r="Q2" s="37"/>
      <c r="R2" s="37"/>
      <c r="S2" s="37"/>
      <c r="T2" s="37"/>
      <c r="U2" s="37"/>
      <c r="V2" s="37"/>
      <c r="W2" s="37"/>
      <c r="X2" s="37"/>
      <c r="Y2" s="37"/>
      <c r="Z2" s="37"/>
      <c r="AB2" s="40"/>
      <c r="AC2" s="39"/>
    </row>
    <row r="3" spans="1:29" ht="21.95" customHeight="1" x14ac:dyDescent="0.25">
      <c r="A3" s="41" t="s">
        <v>193</v>
      </c>
      <c r="B3" s="41" t="str">
        <f>"eForm Version "&amp;CONFIG_EFORMN_VERSION_NO</f>
        <v>eForm Version 5.0.0</v>
      </c>
      <c r="C3" s="42"/>
    </row>
    <row r="4" spans="1:29" ht="21.95" customHeight="1" x14ac:dyDescent="0.25">
      <c r="A4" s="41"/>
      <c r="B4" s="41"/>
    </row>
    <row r="5" spans="1:29" ht="21.95" customHeight="1" thickBot="1" x14ac:dyDescent="0.3">
      <c r="A5" s="41"/>
      <c r="B5" s="41"/>
      <c r="D5" s="85" t="s">
        <v>2855</v>
      </c>
      <c r="E5" s="86"/>
      <c r="F5" s="86"/>
      <c r="G5" s="86"/>
      <c r="H5" s="86"/>
      <c r="I5" s="86"/>
      <c r="J5" s="86"/>
      <c r="K5" s="86"/>
      <c r="L5" s="86"/>
      <c r="M5" s="86"/>
      <c r="N5" s="86"/>
      <c r="O5" s="86"/>
      <c r="P5" s="86"/>
      <c r="Q5" s="86"/>
      <c r="R5" s="86"/>
      <c r="S5" s="86"/>
      <c r="T5" s="86"/>
      <c r="U5" s="86"/>
      <c r="V5" s="86"/>
      <c r="W5" s="86"/>
      <c r="X5" s="86"/>
      <c r="Y5" s="86"/>
    </row>
    <row r="6" spans="1:29" ht="21.95" customHeight="1" x14ac:dyDescent="0.25">
      <c r="A6" s="41"/>
      <c r="B6" s="41"/>
    </row>
    <row r="7" spans="1:29" ht="21.95" customHeight="1" x14ac:dyDescent="0.25">
      <c r="A7" s="41"/>
      <c r="B7" s="41"/>
      <c r="D7" s="39" t="s">
        <v>2849</v>
      </c>
      <c r="V7" s="413" t="s">
        <v>2942</v>
      </c>
      <c r="W7" s="413"/>
      <c r="X7" s="413"/>
      <c r="Y7" s="413"/>
    </row>
    <row r="8" spans="1:29" ht="21.95" customHeight="1" x14ac:dyDescent="0.25">
      <c r="A8" s="41"/>
      <c r="B8" s="41"/>
      <c r="D8" s="39" t="s">
        <v>2847</v>
      </c>
      <c r="V8" s="413" t="s">
        <v>2925</v>
      </c>
      <c r="W8" s="413"/>
      <c r="X8" s="413"/>
      <c r="Y8" s="413"/>
    </row>
    <row r="9" spans="1:29" ht="21.95" customHeight="1" x14ac:dyDescent="0.25">
      <c r="A9" s="41"/>
      <c r="B9" s="41"/>
      <c r="D9" s="119" t="s">
        <v>2241</v>
      </c>
      <c r="V9" s="120" t="str">
        <f>CONFIG_EFORM_VERSION_NO_MAJ</f>
        <v>5.0</v>
      </c>
      <c r="W9" s="121" t="s">
        <v>109</v>
      </c>
      <c r="X9" s="297">
        <v>0</v>
      </c>
      <c r="Y9" s="299"/>
    </row>
    <row r="10" spans="1:29" ht="21.95" customHeight="1" x14ac:dyDescent="0.25">
      <c r="A10" s="41"/>
      <c r="B10" s="41"/>
      <c r="D10" s="119" t="s">
        <v>2361</v>
      </c>
      <c r="V10" s="412">
        <v>44952</v>
      </c>
      <c r="W10" s="412"/>
      <c r="X10" s="412"/>
      <c r="Y10" s="412"/>
    </row>
    <row r="11" spans="1:29" ht="21.95" customHeight="1" x14ac:dyDescent="0.25">
      <c r="A11" s="41"/>
      <c r="B11" s="41"/>
      <c r="D11" s="39" t="s">
        <v>2939</v>
      </c>
      <c r="V11" s="413" t="s">
        <v>2945</v>
      </c>
      <c r="W11" s="413"/>
      <c r="X11" s="413"/>
      <c r="Y11" s="413"/>
    </row>
    <row r="12" spans="1:29" ht="21.95" customHeight="1" x14ac:dyDescent="0.25">
      <c r="A12" s="41"/>
      <c r="B12" s="41"/>
    </row>
    <row r="13" spans="1:29" ht="21.95" customHeight="1" x14ac:dyDescent="0.25">
      <c r="A13" s="41"/>
      <c r="B13" s="41"/>
    </row>
    <row r="14" spans="1:29" ht="21.95" customHeight="1" thickBot="1" x14ac:dyDescent="0.3">
      <c r="A14" s="41"/>
      <c r="B14" s="41"/>
      <c r="D14" s="85" t="s">
        <v>2363</v>
      </c>
      <c r="E14" s="86"/>
      <c r="F14" s="86"/>
      <c r="G14" s="86"/>
      <c r="H14" s="86"/>
      <c r="I14" s="86"/>
      <c r="J14" s="86"/>
      <c r="K14" s="86"/>
      <c r="L14" s="86"/>
      <c r="M14" s="86"/>
      <c r="N14" s="86"/>
      <c r="O14" s="86"/>
      <c r="P14" s="86"/>
      <c r="Q14" s="86"/>
      <c r="R14" s="86"/>
      <c r="S14" s="86"/>
      <c r="T14" s="86"/>
      <c r="U14" s="86"/>
      <c r="V14" s="86"/>
      <c r="W14" s="86"/>
      <c r="X14" s="86"/>
      <c r="Y14" s="86"/>
    </row>
    <row r="15" spans="1:29" ht="21.95" customHeight="1" x14ac:dyDescent="0.25">
      <c r="A15" s="41"/>
      <c r="B15" s="41"/>
    </row>
    <row r="16" spans="1:29" ht="21.95" customHeight="1" x14ac:dyDescent="0.25">
      <c r="A16" s="41"/>
      <c r="B16" s="41"/>
      <c r="D16" s="39" t="s">
        <v>2514</v>
      </c>
      <c r="V16" s="413" t="s">
        <v>2957</v>
      </c>
      <c r="W16" s="413"/>
      <c r="X16" s="413"/>
      <c r="Y16" s="413"/>
    </row>
    <row r="17" spans="1:25" ht="21.95" customHeight="1" x14ac:dyDescent="0.25">
      <c r="A17" s="41"/>
      <c r="B17" s="41"/>
      <c r="D17" s="39" t="s">
        <v>2854</v>
      </c>
      <c r="V17" s="415">
        <v>9500</v>
      </c>
      <c r="W17" s="415"/>
      <c r="X17" s="415"/>
      <c r="Y17" s="415"/>
    </row>
    <row r="18" spans="1:25" ht="21.95" customHeight="1" x14ac:dyDescent="0.25">
      <c r="A18" s="41"/>
      <c r="B18" s="41"/>
      <c r="D18" s="39" t="s">
        <v>2364</v>
      </c>
      <c r="V18" s="414">
        <v>500</v>
      </c>
      <c r="W18" s="414"/>
      <c r="X18" s="414"/>
      <c r="Y18" s="414"/>
    </row>
    <row r="19" spans="1:25" ht="21.95" customHeight="1" x14ac:dyDescent="0.25">
      <c r="A19" s="41"/>
      <c r="B19" s="41"/>
      <c r="D19" s="39" t="s">
        <v>2613</v>
      </c>
      <c r="V19" s="409">
        <v>1</v>
      </c>
      <c r="W19" s="410"/>
      <c r="X19" s="410"/>
      <c r="Y19" s="411"/>
    </row>
    <row r="20" spans="1:25" ht="21.95" customHeight="1" x14ac:dyDescent="0.25">
      <c r="A20" s="41"/>
      <c r="B20" s="41"/>
      <c r="D20" s="39" t="s">
        <v>2856</v>
      </c>
      <c r="V20" s="426">
        <v>1000</v>
      </c>
      <c r="W20" s="427"/>
      <c r="X20" s="427"/>
      <c r="Y20" s="428"/>
    </row>
    <row r="21" spans="1:25" ht="21.95" customHeight="1" x14ac:dyDescent="0.25">
      <c r="A21" s="41"/>
      <c r="B21" s="41"/>
      <c r="D21" s="39" t="s">
        <v>2859</v>
      </c>
      <c r="V21" s="404">
        <v>1.1000000000000001</v>
      </c>
      <c r="W21" s="405"/>
      <c r="X21" s="405"/>
      <c r="Y21" s="406"/>
    </row>
    <row r="22" spans="1:25" ht="21.95" customHeight="1" x14ac:dyDescent="0.25">
      <c r="A22" s="41"/>
      <c r="B22" s="41"/>
      <c r="D22" s="39" t="s">
        <v>2860</v>
      </c>
      <c r="V22" s="404">
        <v>0.75</v>
      </c>
      <c r="W22" s="405"/>
      <c r="X22" s="405"/>
      <c r="Y22" s="406"/>
    </row>
    <row r="23" spans="1:25" ht="21.95" customHeight="1" x14ac:dyDescent="0.25">
      <c r="A23" s="41"/>
      <c r="B23" s="41"/>
      <c r="D23" s="39" t="s">
        <v>2861</v>
      </c>
      <c r="V23" s="404">
        <v>0.75</v>
      </c>
      <c r="W23" s="405"/>
      <c r="X23" s="405"/>
      <c r="Y23" s="406"/>
    </row>
    <row r="24" spans="1:25" ht="21.95" customHeight="1" x14ac:dyDescent="0.25">
      <c r="A24" s="41"/>
      <c r="B24" s="41"/>
      <c r="D24" s="39" t="s">
        <v>2887</v>
      </c>
      <c r="V24" s="404">
        <v>0.45</v>
      </c>
      <c r="W24" s="405"/>
      <c r="X24" s="405"/>
      <c r="Y24" s="406"/>
    </row>
    <row r="25" spans="1:25" ht="21.95" customHeight="1" x14ac:dyDescent="0.25">
      <c r="A25" s="41"/>
      <c r="B25" s="41"/>
      <c r="D25" s="39" t="s">
        <v>2872</v>
      </c>
      <c r="V25" s="407">
        <v>45000</v>
      </c>
      <c r="W25" s="407"/>
      <c r="X25" s="407"/>
      <c r="Y25" s="407"/>
    </row>
    <row r="26" spans="1:25" ht="21.95" customHeight="1" x14ac:dyDescent="0.25">
      <c r="A26" s="41"/>
      <c r="B26" s="41"/>
      <c r="D26" s="39" t="s">
        <v>2871</v>
      </c>
      <c r="V26" s="407">
        <v>45000</v>
      </c>
      <c r="W26" s="407"/>
      <c r="X26" s="407"/>
      <c r="Y26" s="407"/>
    </row>
    <row r="27" spans="1:25" ht="21.95" customHeight="1" x14ac:dyDescent="0.25">
      <c r="A27" s="41"/>
      <c r="B27" s="41"/>
      <c r="D27" s="39"/>
    </row>
    <row r="28" spans="1:25" ht="21.95" customHeight="1" x14ac:dyDescent="0.25">
      <c r="A28" s="41"/>
      <c r="B28" s="41"/>
      <c r="D28" s="39"/>
    </row>
    <row r="29" spans="1:25" ht="21.95" customHeight="1" thickBot="1" x14ac:dyDescent="0.3">
      <c r="A29" s="41"/>
      <c r="B29" s="41"/>
      <c r="D29" s="85" t="s">
        <v>2370</v>
      </c>
      <c r="E29" s="85"/>
      <c r="F29" s="85"/>
      <c r="G29" s="85"/>
      <c r="H29" s="85"/>
      <c r="I29" s="85"/>
      <c r="J29" s="85"/>
      <c r="K29" s="85"/>
      <c r="L29" s="85"/>
      <c r="M29" s="85"/>
      <c r="N29" s="85"/>
      <c r="O29" s="85"/>
      <c r="P29" s="85"/>
      <c r="Q29" s="85"/>
      <c r="R29" s="85"/>
      <c r="S29" s="85"/>
      <c r="T29" s="85"/>
      <c r="U29" s="85"/>
      <c r="V29" s="85"/>
      <c r="W29" s="85"/>
      <c r="X29" s="85"/>
      <c r="Y29" s="85"/>
    </row>
    <row r="30" spans="1:25" ht="21.95" customHeight="1" x14ac:dyDescent="0.25">
      <c r="A30" s="41"/>
      <c r="B30" s="41"/>
    </row>
    <row r="31" spans="1:25" ht="21.95" customHeight="1" thickBot="1" x14ac:dyDescent="0.3">
      <c r="A31" s="41"/>
      <c r="B31" s="41"/>
      <c r="D31" s="146" t="s">
        <v>2517</v>
      </c>
      <c r="E31" s="141"/>
      <c r="F31" s="141"/>
      <c r="G31" s="141"/>
      <c r="H31" s="141"/>
      <c r="I31" s="141"/>
      <c r="J31" s="141"/>
      <c r="K31" s="141"/>
      <c r="L31" s="141"/>
      <c r="M31" s="141"/>
      <c r="N31" s="141"/>
      <c r="O31" s="141"/>
      <c r="P31" s="141"/>
      <c r="Q31" s="141"/>
      <c r="R31" s="141"/>
      <c r="S31" s="141"/>
      <c r="T31" s="141"/>
      <c r="U31" s="141"/>
      <c r="V31" s="141"/>
      <c r="W31" s="141"/>
      <c r="X31" s="141"/>
      <c r="Y31" s="141"/>
    </row>
    <row r="32" spans="1:25" ht="21.95" customHeight="1" thickTop="1" x14ac:dyDescent="0.25">
      <c r="A32" s="41"/>
      <c r="B32" s="41"/>
    </row>
    <row r="33" spans="1:25" ht="21.95" customHeight="1" x14ac:dyDescent="0.25">
      <c r="A33" s="41"/>
      <c r="B33" s="41"/>
      <c r="D33" s="39" t="s">
        <v>2423</v>
      </c>
      <c r="V33" s="416">
        <v>2023</v>
      </c>
      <c r="W33" s="416"/>
      <c r="X33" s="416"/>
      <c r="Y33" s="416"/>
    </row>
    <row r="34" spans="1:25" ht="21.95" customHeight="1" x14ac:dyDescent="0.25">
      <c r="A34" s="41"/>
      <c r="B34" s="41"/>
      <c r="D34" s="39" t="s">
        <v>2424</v>
      </c>
      <c r="V34" s="416">
        <v>2023</v>
      </c>
      <c r="W34" s="416"/>
      <c r="X34" s="416"/>
      <c r="Y34" s="416"/>
    </row>
    <row r="35" spans="1:25" ht="21.95" customHeight="1" x14ac:dyDescent="0.25">
      <c r="A35" s="41"/>
      <c r="B35" s="41"/>
      <c r="D35" s="39" t="s">
        <v>2425</v>
      </c>
      <c r="V35" s="416">
        <v>2022</v>
      </c>
      <c r="W35" s="416"/>
      <c r="X35" s="416"/>
      <c r="Y35" s="416"/>
    </row>
    <row r="36" spans="1:25" ht="21.95" customHeight="1" x14ac:dyDescent="0.25">
      <c r="A36" s="41"/>
      <c r="B36" s="41"/>
      <c r="D36" s="39" t="s">
        <v>2426</v>
      </c>
      <c r="V36" s="416">
        <v>2022</v>
      </c>
      <c r="W36" s="416"/>
      <c r="X36" s="416"/>
      <c r="Y36" s="416"/>
    </row>
    <row r="37" spans="1:25" ht="21.95" customHeight="1" x14ac:dyDescent="0.25">
      <c r="A37" s="41"/>
      <c r="B37" s="41"/>
      <c r="D37" s="39"/>
    </row>
    <row r="38" spans="1:25" ht="21.95" customHeight="1" thickBot="1" x14ac:dyDescent="0.3">
      <c r="A38" s="41"/>
      <c r="B38" s="41"/>
      <c r="D38" s="146" t="str">
        <f>TEXT(CONFIG_MFI_PERCENTAGE,"#%")&amp;" AMI Limits"</f>
        <v>80% AMI Limits</v>
      </c>
      <c r="E38" s="141"/>
      <c r="F38" s="141"/>
      <c r="G38" s="141"/>
      <c r="H38" s="141"/>
      <c r="I38" s="141"/>
      <c r="J38" s="141"/>
      <c r="K38" s="141"/>
      <c r="L38" s="141"/>
      <c r="M38" s="141"/>
      <c r="N38" s="141"/>
      <c r="O38" s="141"/>
      <c r="P38" s="141"/>
      <c r="Q38" s="141"/>
      <c r="R38" s="141"/>
      <c r="S38" s="141"/>
      <c r="T38" s="141"/>
      <c r="U38" s="141"/>
      <c r="V38" s="141"/>
      <c r="W38" s="141"/>
      <c r="X38" s="141"/>
      <c r="Y38" s="141"/>
    </row>
    <row r="39" spans="1:25" ht="21.95" customHeight="1" thickTop="1" x14ac:dyDescent="0.25">
      <c r="A39" s="41"/>
      <c r="B39" s="41"/>
      <c r="D39" s="39"/>
    </row>
    <row r="40" spans="1:25" ht="21.95" customHeight="1" x14ac:dyDescent="0.25">
      <c r="A40" s="41"/>
      <c r="B40" s="41"/>
      <c r="D40" s="419" t="s">
        <v>2513</v>
      </c>
      <c r="E40" s="420"/>
      <c r="F40" s="420"/>
      <c r="G40" s="420"/>
      <c r="H40" s="420"/>
      <c r="I40" s="421"/>
      <c r="J40" s="417" t="str">
        <f>TEXT(CONFIG_MFI_PERCENTAGE,"#%")&amp;" Income Limit (by household size)"</f>
        <v>80% Income Limit (by household size)</v>
      </c>
      <c r="K40" s="417"/>
      <c r="L40" s="417"/>
      <c r="M40" s="417"/>
      <c r="N40" s="417"/>
      <c r="O40" s="417"/>
      <c r="P40" s="417"/>
      <c r="Q40" s="417"/>
      <c r="R40" s="417"/>
      <c r="S40" s="417"/>
      <c r="T40" s="417"/>
      <c r="U40" s="417"/>
      <c r="V40" s="417"/>
      <c r="W40" s="417"/>
      <c r="X40" s="417"/>
      <c r="Y40" s="417"/>
    </row>
    <row r="41" spans="1:25" ht="21.95" customHeight="1" x14ac:dyDescent="0.25">
      <c r="A41" s="41"/>
      <c r="B41" s="41"/>
      <c r="D41" s="148" t="s">
        <v>52</v>
      </c>
      <c r="E41" s="422" t="s">
        <v>107</v>
      </c>
      <c r="F41" s="422"/>
      <c r="G41" s="422"/>
      <c r="H41" s="418" t="s">
        <v>2435</v>
      </c>
      <c r="I41" s="418"/>
      <c r="J41" s="418" t="s">
        <v>2427</v>
      </c>
      <c r="K41" s="418"/>
      <c r="L41" s="418" t="s">
        <v>2428</v>
      </c>
      <c r="M41" s="418"/>
      <c r="N41" s="418" t="s">
        <v>2429</v>
      </c>
      <c r="O41" s="418"/>
      <c r="P41" s="418" t="s">
        <v>2430</v>
      </c>
      <c r="Q41" s="418"/>
      <c r="R41" s="418" t="s">
        <v>2431</v>
      </c>
      <c r="S41" s="418"/>
      <c r="T41" s="418" t="s">
        <v>2432</v>
      </c>
      <c r="U41" s="418"/>
      <c r="V41" s="418" t="s">
        <v>2433</v>
      </c>
      <c r="W41" s="418"/>
      <c r="X41" s="418" t="s">
        <v>2434</v>
      </c>
      <c r="Y41" s="418"/>
    </row>
    <row r="42" spans="1:25" ht="21.95" customHeight="1" x14ac:dyDescent="0.25">
      <c r="A42" s="41"/>
      <c r="B42" s="41"/>
      <c r="C42" s="150" t="str">
        <f>TRIM(UPPER(D42))&amp;"_"&amp;TRIM(UPPER(E42))</f>
        <v>NJ_ATLANTIC</v>
      </c>
      <c r="D42" s="147" t="s">
        <v>76</v>
      </c>
      <c r="E42" s="408" t="s">
        <v>1338</v>
      </c>
      <c r="F42" s="408"/>
      <c r="G42" s="408"/>
      <c r="H42" s="424" t="s">
        <v>2348</v>
      </c>
      <c r="I42" s="424"/>
      <c r="J42" s="260">
        <v>94000</v>
      </c>
      <c r="K42" s="261"/>
      <c r="L42" s="425">
        <f>J42</f>
        <v>94000</v>
      </c>
      <c r="M42" s="425"/>
      <c r="N42" s="260">
        <v>108100</v>
      </c>
      <c r="O42" s="261"/>
      <c r="P42" s="425">
        <f>N42</f>
        <v>108100</v>
      </c>
      <c r="Q42" s="425"/>
      <c r="R42" s="425">
        <f>P42</f>
        <v>108100</v>
      </c>
      <c r="S42" s="425"/>
      <c r="T42" s="425">
        <f>R42</f>
        <v>108100</v>
      </c>
      <c r="U42" s="425"/>
      <c r="V42" s="425">
        <f>T42</f>
        <v>108100</v>
      </c>
      <c r="W42" s="425"/>
      <c r="X42" s="425">
        <f>V42</f>
        <v>108100</v>
      </c>
      <c r="Y42" s="425"/>
    </row>
    <row r="43" spans="1:25" ht="21.95" customHeight="1" x14ac:dyDescent="0.25">
      <c r="A43" s="41"/>
      <c r="B43" s="41"/>
      <c r="C43" s="150" t="str">
        <f t="shared" ref="C43:C106" si="0">TRIM(UPPER(D43))&amp;"_"&amp;TRIM(UPPER(E43))</f>
        <v>NJ_BERGEN</v>
      </c>
      <c r="D43" s="147" t="s">
        <v>76</v>
      </c>
      <c r="E43" s="408" t="s">
        <v>1339</v>
      </c>
      <c r="F43" s="408"/>
      <c r="G43" s="408"/>
      <c r="H43" s="424" t="s">
        <v>2348</v>
      </c>
      <c r="I43" s="424"/>
      <c r="J43" s="260">
        <v>102160</v>
      </c>
      <c r="K43" s="261"/>
      <c r="L43" s="425">
        <f t="shared" ref="L43:L106" si="1">J43</f>
        <v>102160</v>
      </c>
      <c r="M43" s="425"/>
      <c r="N43" s="260">
        <v>117484</v>
      </c>
      <c r="O43" s="261"/>
      <c r="P43" s="425">
        <f t="shared" ref="P43:P106" si="2">N43</f>
        <v>117484</v>
      </c>
      <c r="Q43" s="425"/>
      <c r="R43" s="425">
        <f t="shared" ref="R43:R106" si="3">P43</f>
        <v>117484</v>
      </c>
      <c r="S43" s="425"/>
      <c r="T43" s="425">
        <f t="shared" ref="T43:T106" si="4">R43</f>
        <v>117484</v>
      </c>
      <c r="U43" s="425"/>
      <c r="V43" s="425">
        <f t="shared" ref="V43:V106" si="5">T43</f>
        <v>117484</v>
      </c>
      <c r="W43" s="425"/>
      <c r="X43" s="425">
        <f t="shared" ref="X43:X106" si="6">V43</f>
        <v>117484</v>
      </c>
      <c r="Y43" s="425"/>
    </row>
    <row r="44" spans="1:25" ht="21.95" customHeight="1" x14ac:dyDescent="0.25">
      <c r="A44" s="41"/>
      <c r="B44" s="41"/>
      <c r="C44" s="150" t="str">
        <f t="shared" si="0"/>
        <v>NJ_BURLINGTON</v>
      </c>
      <c r="D44" s="147" t="s">
        <v>76</v>
      </c>
      <c r="E44" s="408" t="s">
        <v>1340</v>
      </c>
      <c r="F44" s="408"/>
      <c r="G44" s="408"/>
      <c r="H44" s="424" t="s">
        <v>2348</v>
      </c>
      <c r="I44" s="424"/>
      <c r="J44" s="260">
        <v>94000</v>
      </c>
      <c r="K44" s="261"/>
      <c r="L44" s="425">
        <f t="shared" si="1"/>
        <v>94000</v>
      </c>
      <c r="M44" s="425"/>
      <c r="N44" s="260">
        <v>108100</v>
      </c>
      <c r="O44" s="261"/>
      <c r="P44" s="425">
        <f t="shared" si="2"/>
        <v>108100</v>
      </c>
      <c r="Q44" s="425"/>
      <c r="R44" s="425">
        <f t="shared" si="3"/>
        <v>108100</v>
      </c>
      <c r="S44" s="425"/>
      <c r="T44" s="425">
        <f t="shared" si="4"/>
        <v>108100</v>
      </c>
      <c r="U44" s="425"/>
      <c r="V44" s="425">
        <f t="shared" si="5"/>
        <v>108100</v>
      </c>
      <c r="W44" s="425"/>
      <c r="X44" s="425">
        <f t="shared" si="6"/>
        <v>108100</v>
      </c>
      <c r="Y44" s="425"/>
    </row>
    <row r="45" spans="1:25" ht="21.95" customHeight="1" x14ac:dyDescent="0.25">
      <c r="A45" s="41"/>
      <c r="B45" s="41"/>
      <c r="C45" s="150" t="str">
        <f t="shared" si="0"/>
        <v>NJ_CAMDEN</v>
      </c>
      <c r="D45" s="147" t="s">
        <v>76</v>
      </c>
      <c r="E45" s="408" t="s">
        <v>548</v>
      </c>
      <c r="F45" s="408"/>
      <c r="G45" s="408"/>
      <c r="H45" s="424" t="s">
        <v>2348</v>
      </c>
      <c r="I45" s="424"/>
      <c r="J45" s="260">
        <v>94000</v>
      </c>
      <c r="K45" s="261"/>
      <c r="L45" s="425">
        <f t="shared" si="1"/>
        <v>94000</v>
      </c>
      <c r="M45" s="425"/>
      <c r="N45" s="260">
        <v>108100</v>
      </c>
      <c r="O45" s="261"/>
      <c r="P45" s="425">
        <f t="shared" si="2"/>
        <v>108100</v>
      </c>
      <c r="Q45" s="425"/>
      <c r="R45" s="425">
        <f t="shared" si="3"/>
        <v>108100</v>
      </c>
      <c r="S45" s="425"/>
      <c r="T45" s="425">
        <f t="shared" si="4"/>
        <v>108100</v>
      </c>
      <c r="U45" s="425"/>
      <c r="V45" s="425">
        <f t="shared" si="5"/>
        <v>108100</v>
      </c>
      <c r="W45" s="425"/>
      <c r="X45" s="425">
        <f t="shared" si="6"/>
        <v>108100</v>
      </c>
      <c r="Y45" s="425"/>
    </row>
    <row r="46" spans="1:25" ht="21.95" customHeight="1" x14ac:dyDescent="0.25">
      <c r="A46" s="41"/>
      <c r="B46" s="41"/>
      <c r="C46" s="150" t="str">
        <f t="shared" si="0"/>
        <v>NJ_CAPE MAY</v>
      </c>
      <c r="D46" s="147" t="s">
        <v>76</v>
      </c>
      <c r="E46" s="408" t="s">
        <v>1341</v>
      </c>
      <c r="F46" s="408"/>
      <c r="G46" s="408"/>
      <c r="H46" s="424" t="s">
        <v>2348</v>
      </c>
      <c r="I46" s="424"/>
      <c r="J46" s="260">
        <v>94000</v>
      </c>
      <c r="K46" s="261"/>
      <c r="L46" s="425">
        <f t="shared" si="1"/>
        <v>94000</v>
      </c>
      <c r="M46" s="425"/>
      <c r="N46" s="260">
        <v>108100</v>
      </c>
      <c r="O46" s="261"/>
      <c r="P46" s="425">
        <f t="shared" si="2"/>
        <v>108100</v>
      </c>
      <c r="Q46" s="425"/>
      <c r="R46" s="425">
        <f t="shared" si="3"/>
        <v>108100</v>
      </c>
      <c r="S46" s="425"/>
      <c r="T46" s="425">
        <f t="shared" si="4"/>
        <v>108100</v>
      </c>
      <c r="U46" s="425"/>
      <c r="V46" s="425">
        <f t="shared" si="5"/>
        <v>108100</v>
      </c>
      <c r="W46" s="425"/>
      <c r="X46" s="425">
        <f t="shared" si="6"/>
        <v>108100</v>
      </c>
      <c r="Y46" s="425"/>
    </row>
    <row r="47" spans="1:25" ht="21.95" customHeight="1" x14ac:dyDescent="0.25">
      <c r="A47" s="41"/>
      <c r="B47" s="41"/>
      <c r="C47" s="150" t="str">
        <f t="shared" si="0"/>
        <v>NJ_CUMBERLAND</v>
      </c>
      <c r="D47" s="147" t="s">
        <v>76</v>
      </c>
      <c r="E47" s="408" t="s">
        <v>688</v>
      </c>
      <c r="F47" s="408"/>
      <c r="G47" s="408"/>
      <c r="H47" s="424" t="s">
        <v>2348</v>
      </c>
      <c r="I47" s="424"/>
      <c r="J47" s="260">
        <v>94000</v>
      </c>
      <c r="K47" s="261"/>
      <c r="L47" s="425">
        <f t="shared" si="1"/>
        <v>94000</v>
      </c>
      <c r="M47" s="425"/>
      <c r="N47" s="260">
        <v>108100</v>
      </c>
      <c r="O47" s="261"/>
      <c r="P47" s="425">
        <f t="shared" si="2"/>
        <v>108100</v>
      </c>
      <c r="Q47" s="425"/>
      <c r="R47" s="425">
        <f t="shared" si="3"/>
        <v>108100</v>
      </c>
      <c r="S47" s="425"/>
      <c r="T47" s="425">
        <f t="shared" si="4"/>
        <v>108100</v>
      </c>
      <c r="U47" s="425"/>
      <c r="V47" s="425">
        <f t="shared" si="5"/>
        <v>108100</v>
      </c>
      <c r="W47" s="425"/>
      <c r="X47" s="425">
        <f t="shared" si="6"/>
        <v>108100</v>
      </c>
      <c r="Y47" s="425"/>
    </row>
    <row r="48" spans="1:25" ht="21.95" customHeight="1" x14ac:dyDescent="0.25">
      <c r="A48" s="41"/>
      <c r="B48" s="41"/>
      <c r="C48" s="150" t="str">
        <f t="shared" si="0"/>
        <v>NJ_ESSEX</v>
      </c>
      <c r="D48" s="147" t="s">
        <v>76</v>
      </c>
      <c r="E48" s="408" t="s">
        <v>1036</v>
      </c>
      <c r="F48" s="408"/>
      <c r="G48" s="408"/>
      <c r="H48" s="424" t="s">
        <v>2348</v>
      </c>
      <c r="I48" s="424"/>
      <c r="J48" s="260">
        <v>94000</v>
      </c>
      <c r="K48" s="261"/>
      <c r="L48" s="425">
        <f t="shared" si="1"/>
        <v>94000</v>
      </c>
      <c r="M48" s="425"/>
      <c r="N48" s="260">
        <v>108100</v>
      </c>
      <c r="O48" s="261"/>
      <c r="P48" s="425">
        <f t="shared" si="2"/>
        <v>108100</v>
      </c>
      <c r="Q48" s="425"/>
      <c r="R48" s="425">
        <f t="shared" si="3"/>
        <v>108100</v>
      </c>
      <c r="S48" s="425"/>
      <c r="T48" s="425">
        <f t="shared" si="4"/>
        <v>108100</v>
      </c>
      <c r="U48" s="425"/>
      <c r="V48" s="425">
        <f t="shared" si="5"/>
        <v>108100</v>
      </c>
      <c r="W48" s="425"/>
      <c r="X48" s="425">
        <f t="shared" si="6"/>
        <v>108100</v>
      </c>
      <c r="Y48" s="425"/>
    </row>
    <row r="49" spans="1:25" ht="21.95" customHeight="1" x14ac:dyDescent="0.25">
      <c r="A49" s="41"/>
      <c r="B49" s="41"/>
      <c r="C49" s="150" t="str">
        <f t="shared" si="0"/>
        <v>NJ_GLOUCESTER</v>
      </c>
      <c r="D49" s="147" t="s">
        <v>76</v>
      </c>
      <c r="E49" s="408" t="s">
        <v>1342</v>
      </c>
      <c r="F49" s="408"/>
      <c r="G49" s="408"/>
      <c r="H49" s="424" t="s">
        <v>2348</v>
      </c>
      <c r="I49" s="424"/>
      <c r="J49" s="260">
        <v>94000</v>
      </c>
      <c r="K49" s="261"/>
      <c r="L49" s="425">
        <f t="shared" si="1"/>
        <v>94000</v>
      </c>
      <c r="M49" s="425"/>
      <c r="N49" s="260">
        <v>108100</v>
      </c>
      <c r="O49" s="261"/>
      <c r="P49" s="425">
        <f t="shared" si="2"/>
        <v>108100</v>
      </c>
      <c r="Q49" s="425"/>
      <c r="R49" s="425">
        <f t="shared" si="3"/>
        <v>108100</v>
      </c>
      <c r="S49" s="425"/>
      <c r="T49" s="425">
        <f t="shared" si="4"/>
        <v>108100</v>
      </c>
      <c r="U49" s="425"/>
      <c r="V49" s="425">
        <f t="shared" si="5"/>
        <v>108100</v>
      </c>
      <c r="W49" s="425"/>
      <c r="X49" s="425">
        <f t="shared" si="6"/>
        <v>108100</v>
      </c>
      <c r="Y49" s="425"/>
    </row>
    <row r="50" spans="1:25" ht="21.95" customHeight="1" x14ac:dyDescent="0.25">
      <c r="A50" s="41"/>
      <c r="B50" s="41"/>
      <c r="C50" s="150" t="str">
        <f t="shared" si="0"/>
        <v>NJ_HUDSON</v>
      </c>
      <c r="D50" s="147" t="s">
        <v>76</v>
      </c>
      <c r="E50" s="408" t="s">
        <v>1343</v>
      </c>
      <c r="F50" s="408"/>
      <c r="G50" s="408"/>
      <c r="H50" s="424" t="s">
        <v>2348</v>
      </c>
      <c r="I50" s="424"/>
      <c r="J50" s="260">
        <v>94000</v>
      </c>
      <c r="K50" s="261"/>
      <c r="L50" s="425">
        <f t="shared" si="1"/>
        <v>94000</v>
      </c>
      <c r="M50" s="425"/>
      <c r="N50" s="260">
        <v>108100</v>
      </c>
      <c r="O50" s="261"/>
      <c r="P50" s="425">
        <f t="shared" si="2"/>
        <v>108100</v>
      </c>
      <c r="Q50" s="425"/>
      <c r="R50" s="425">
        <f t="shared" si="3"/>
        <v>108100</v>
      </c>
      <c r="S50" s="425"/>
      <c r="T50" s="425">
        <f t="shared" si="4"/>
        <v>108100</v>
      </c>
      <c r="U50" s="425"/>
      <c r="V50" s="425">
        <f t="shared" si="5"/>
        <v>108100</v>
      </c>
      <c r="W50" s="425"/>
      <c r="X50" s="425">
        <f t="shared" si="6"/>
        <v>108100</v>
      </c>
      <c r="Y50" s="425"/>
    </row>
    <row r="51" spans="1:25" ht="21.95" customHeight="1" x14ac:dyDescent="0.25">
      <c r="A51" s="41"/>
      <c r="B51" s="41"/>
      <c r="C51" s="150" t="str">
        <f t="shared" si="0"/>
        <v>NJ_HUNTERDON</v>
      </c>
      <c r="D51" s="147" t="s">
        <v>76</v>
      </c>
      <c r="E51" s="408" t="s">
        <v>1344</v>
      </c>
      <c r="F51" s="408"/>
      <c r="G51" s="408"/>
      <c r="H51" s="424" t="s">
        <v>2348</v>
      </c>
      <c r="I51" s="424"/>
      <c r="J51" s="260">
        <v>108480</v>
      </c>
      <c r="K51" s="261"/>
      <c r="L51" s="425">
        <f t="shared" si="1"/>
        <v>108480</v>
      </c>
      <c r="M51" s="425"/>
      <c r="N51" s="260">
        <v>124752</v>
      </c>
      <c r="O51" s="261"/>
      <c r="P51" s="425">
        <f t="shared" si="2"/>
        <v>124752</v>
      </c>
      <c r="Q51" s="425"/>
      <c r="R51" s="425">
        <f t="shared" si="3"/>
        <v>124752</v>
      </c>
      <c r="S51" s="425"/>
      <c r="T51" s="425">
        <f t="shared" si="4"/>
        <v>124752</v>
      </c>
      <c r="U51" s="425"/>
      <c r="V51" s="425">
        <f t="shared" si="5"/>
        <v>124752</v>
      </c>
      <c r="W51" s="425"/>
      <c r="X51" s="425">
        <f t="shared" si="6"/>
        <v>124752</v>
      </c>
      <c r="Y51" s="425"/>
    </row>
    <row r="52" spans="1:25" ht="21.95" customHeight="1" x14ac:dyDescent="0.25">
      <c r="A52" s="41"/>
      <c r="B52" s="41"/>
      <c r="C52" s="150" t="str">
        <f t="shared" si="0"/>
        <v>NJ_MERCER</v>
      </c>
      <c r="D52" s="147" t="s">
        <v>76</v>
      </c>
      <c r="E52" s="408" t="s">
        <v>714</v>
      </c>
      <c r="F52" s="408"/>
      <c r="G52" s="408"/>
      <c r="H52" s="424" t="s">
        <v>2348</v>
      </c>
      <c r="I52" s="424"/>
      <c r="J52" s="260">
        <v>95360</v>
      </c>
      <c r="K52" s="261"/>
      <c r="L52" s="425">
        <f t="shared" si="1"/>
        <v>95360</v>
      </c>
      <c r="M52" s="425"/>
      <c r="N52" s="260">
        <v>109664</v>
      </c>
      <c r="O52" s="261"/>
      <c r="P52" s="425">
        <f t="shared" si="2"/>
        <v>109664</v>
      </c>
      <c r="Q52" s="425"/>
      <c r="R52" s="425">
        <f t="shared" si="3"/>
        <v>109664</v>
      </c>
      <c r="S52" s="425"/>
      <c r="T52" s="425">
        <f t="shared" si="4"/>
        <v>109664</v>
      </c>
      <c r="U52" s="425"/>
      <c r="V52" s="425">
        <f t="shared" si="5"/>
        <v>109664</v>
      </c>
      <c r="W52" s="425"/>
      <c r="X52" s="425">
        <f t="shared" si="6"/>
        <v>109664</v>
      </c>
      <c r="Y52" s="425"/>
    </row>
    <row r="53" spans="1:25" ht="21.95" customHeight="1" x14ac:dyDescent="0.25">
      <c r="A53" s="41"/>
      <c r="B53" s="41"/>
      <c r="C53" s="150" t="str">
        <f t="shared" si="0"/>
        <v>NJ_MIDDLESEX</v>
      </c>
      <c r="D53" s="147" t="s">
        <v>76</v>
      </c>
      <c r="E53" s="408" t="s">
        <v>474</v>
      </c>
      <c r="F53" s="408"/>
      <c r="G53" s="408"/>
      <c r="H53" s="424" t="s">
        <v>2348</v>
      </c>
      <c r="I53" s="424"/>
      <c r="J53" s="260">
        <v>108480</v>
      </c>
      <c r="K53" s="261"/>
      <c r="L53" s="425">
        <f t="shared" si="1"/>
        <v>108480</v>
      </c>
      <c r="M53" s="425"/>
      <c r="N53" s="260">
        <v>124752</v>
      </c>
      <c r="O53" s="261"/>
      <c r="P53" s="425">
        <f t="shared" si="2"/>
        <v>124752</v>
      </c>
      <c r="Q53" s="425"/>
      <c r="R53" s="425">
        <f t="shared" si="3"/>
        <v>124752</v>
      </c>
      <c r="S53" s="425"/>
      <c r="T53" s="425">
        <f t="shared" si="4"/>
        <v>124752</v>
      </c>
      <c r="U53" s="425"/>
      <c r="V53" s="425">
        <f t="shared" si="5"/>
        <v>124752</v>
      </c>
      <c r="W53" s="425"/>
      <c r="X53" s="425">
        <f t="shared" si="6"/>
        <v>124752</v>
      </c>
      <c r="Y53" s="425"/>
    </row>
    <row r="54" spans="1:25" ht="21.95" customHeight="1" x14ac:dyDescent="0.25">
      <c r="A54" s="41"/>
      <c r="B54" s="41"/>
      <c r="C54" s="150" t="str">
        <f t="shared" si="0"/>
        <v>NJ_MONMOUTH</v>
      </c>
      <c r="D54" s="147" t="s">
        <v>76</v>
      </c>
      <c r="E54" s="408" t="s">
        <v>1345</v>
      </c>
      <c r="F54" s="408"/>
      <c r="G54" s="408"/>
      <c r="H54" s="424" t="s">
        <v>2348</v>
      </c>
      <c r="I54" s="424"/>
      <c r="J54" s="260">
        <v>98880</v>
      </c>
      <c r="K54" s="261"/>
      <c r="L54" s="425">
        <f t="shared" si="1"/>
        <v>98880</v>
      </c>
      <c r="M54" s="425"/>
      <c r="N54" s="260">
        <v>113712</v>
      </c>
      <c r="O54" s="261"/>
      <c r="P54" s="425">
        <f t="shared" si="2"/>
        <v>113712</v>
      </c>
      <c r="Q54" s="425"/>
      <c r="R54" s="425">
        <f t="shared" si="3"/>
        <v>113712</v>
      </c>
      <c r="S54" s="425"/>
      <c r="T54" s="425">
        <f t="shared" si="4"/>
        <v>113712</v>
      </c>
      <c r="U54" s="425"/>
      <c r="V54" s="425">
        <f t="shared" si="5"/>
        <v>113712</v>
      </c>
      <c r="W54" s="425"/>
      <c r="X54" s="425">
        <f t="shared" si="6"/>
        <v>113712</v>
      </c>
      <c r="Y54" s="425"/>
    </row>
    <row r="55" spans="1:25" ht="21.95" customHeight="1" x14ac:dyDescent="0.25">
      <c r="A55" s="41"/>
      <c r="B55" s="41"/>
      <c r="C55" s="150" t="str">
        <f t="shared" si="0"/>
        <v>NJ_MORRIS</v>
      </c>
      <c r="D55" s="147" t="s">
        <v>76</v>
      </c>
      <c r="E55" s="408" t="s">
        <v>852</v>
      </c>
      <c r="F55" s="408"/>
      <c r="G55" s="408"/>
      <c r="H55" s="424" t="s">
        <v>2348</v>
      </c>
      <c r="I55" s="424"/>
      <c r="J55" s="260">
        <v>94000</v>
      </c>
      <c r="K55" s="261"/>
      <c r="L55" s="425">
        <f t="shared" si="1"/>
        <v>94000</v>
      </c>
      <c r="M55" s="425"/>
      <c r="N55" s="260">
        <v>108100</v>
      </c>
      <c r="O55" s="261"/>
      <c r="P55" s="425">
        <f t="shared" si="2"/>
        <v>108100</v>
      </c>
      <c r="Q55" s="425"/>
      <c r="R55" s="425">
        <f t="shared" si="3"/>
        <v>108100</v>
      </c>
      <c r="S55" s="425"/>
      <c r="T55" s="425">
        <f t="shared" si="4"/>
        <v>108100</v>
      </c>
      <c r="U55" s="425"/>
      <c r="V55" s="425">
        <f t="shared" si="5"/>
        <v>108100</v>
      </c>
      <c r="W55" s="425"/>
      <c r="X55" s="425">
        <f t="shared" si="6"/>
        <v>108100</v>
      </c>
      <c r="Y55" s="425"/>
    </row>
    <row r="56" spans="1:25" ht="21.95" customHeight="1" x14ac:dyDescent="0.25">
      <c r="A56" s="41"/>
      <c r="B56" s="41"/>
      <c r="C56" s="150" t="str">
        <f t="shared" si="0"/>
        <v>NJ_OCEAN</v>
      </c>
      <c r="D56" s="147" t="s">
        <v>76</v>
      </c>
      <c r="E56" s="408" t="s">
        <v>1346</v>
      </c>
      <c r="F56" s="408"/>
      <c r="G56" s="408"/>
      <c r="H56" s="424" t="s">
        <v>2348</v>
      </c>
      <c r="I56" s="424"/>
      <c r="J56" s="260">
        <v>98880</v>
      </c>
      <c r="K56" s="261"/>
      <c r="L56" s="425">
        <f t="shared" si="1"/>
        <v>98880</v>
      </c>
      <c r="M56" s="425"/>
      <c r="N56" s="260">
        <v>113712</v>
      </c>
      <c r="O56" s="261"/>
      <c r="P56" s="425">
        <f t="shared" si="2"/>
        <v>113712</v>
      </c>
      <c r="Q56" s="425"/>
      <c r="R56" s="425">
        <f t="shared" si="3"/>
        <v>113712</v>
      </c>
      <c r="S56" s="425"/>
      <c r="T56" s="425">
        <f t="shared" si="4"/>
        <v>113712</v>
      </c>
      <c r="U56" s="425"/>
      <c r="V56" s="425">
        <f t="shared" si="5"/>
        <v>113712</v>
      </c>
      <c r="W56" s="425"/>
      <c r="X56" s="425">
        <f t="shared" si="6"/>
        <v>113712</v>
      </c>
      <c r="Y56" s="425"/>
    </row>
    <row r="57" spans="1:25" ht="21.95" customHeight="1" x14ac:dyDescent="0.25">
      <c r="A57" s="41"/>
      <c r="B57" s="41"/>
      <c r="C57" s="150" t="str">
        <f t="shared" si="0"/>
        <v>NJ_PASSAIC</v>
      </c>
      <c r="D57" s="147" t="s">
        <v>76</v>
      </c>
      <c r="E57" s="408" t="s">
        <v>1347</v>
      </c>
      <c r="F57" s="408"/>
      <c r="G57" s="408"/>
      <c r="H57" s="424" t="s">
        <v>2348</v>
      </c>
      <c r="I57" s="424"/>
      <c r="J57" s="260">
        <v>102160</v>
      </c>
      <c r="K57" s="261"/>
      <c r="L57" s="425">
        <f t="shared" si="1"/>
        <v>102160</v>
      </c>
      <c r="M57" s="425"/>
      <c r="N57" s="260">
        <v>117484</v>
      </c>
      <c r="O57" s="261"/>
      <c r="P57" s="425">
        <f t="shared" si="2"/>
        <v>117484</v>
      </c>
      <c r="Q57" s="425"/>
      <c r="R57" s="425">
        <f t="shared" si="3"/>
        <v>117484</v>
      </c>
      <c r="S57" s="425"/>
      <c r="T57" s="425">
        <f t="shared" si="4"/>
        <v>117484</v>
      </c>
      <c r="U57" s="425"/>
      <c r="V57" s="425">
        <f t="shared" si="5"/>
        <v>117484</v>
      </c>
      <c r="W57" s="425"/>
      <c r="X57" s="425">
        <f t="shared" si="6"/>
        <v>117484</v>
      </c>
      <c r="Y57" s="425"/>
    </row>
    <row r="58" spans="1:25" ht="21.95" customHeight="1" x14ac:dyDescent="0.25">
      <c r="A58" s="41"/>
      <c r="B58" s="41"/>
      <c r="C58" s="150" t="str">
        <f t="shared" si="0"/>
        <v>NJ_SALEM</v>
      </c>
      <c r="D58" s="147" t="s">
        <v>76</v>
      </c>
      <c r="E58" s="408" t="s">
        <v>1348</v>
      </c>
      <c r="F58" s="408"/>
      <c r="G58" s="408"/>
      <c r="H58" s="424" t="s">
        <v>2348</v>
      </c>
      <c r="I58" s="424"/>
      <c r="J58" s="260">
        <v>94000</v>
      </c>
      <c r="K58" s="261"/>
      <c r="L58" s="425">
        <f t="shared" si="1"/>
        <v>94000</v>
      </c>
      <c r="M58" s="425"/>
      <c r="N58" s="260">
        <v>108100</v>
      </c>
      <c r="O58" s="261"/>
      <c r="P58" s="425">
        <f t="shared" si="2"/>
        <v>108100</v>
      </c>
      <c r="Q58" s="425"/>
      <c r="R58" s="425">
        <f t="shared" si="3"/>
        <v>108100</v>
      </c>
      <c r="S58" s="425"/>
      <c r="T58" s="425">
        <f t="shared" si="4"/>
        <v>108100</v>
      </c>
      <c r="U58" s="425"/>
      <c r="V58" s="425">
        <f t="shared" si="5"/>
        <v>108100</v>
      </c>
      <c r="W58" s="425"/>
      <c r="X58" s="425">
        <f t="shared" si="6"/>
        <v>108100</v>
      </c>
      <c r="Y58" s="425"/>
    </row>
    <row r="59" spans="1:25" ht="21.95" customHeight="1" x14ac:dyDescent="0.25">
      <c r="A59" s="41"/>
      <c r="B59" s="41"/>
      <c r="C59" s="150" t="str">
        <f t="shared" si="0"/>
        <v>NJ_SOMERSET</v>
      </c>
      <c r="D59" s="147" t="s">
        <v>76</v>
      </c>
      <c r="E59" s="408" t="s">
        <v>1012</v>
      </c>
      <c r="F59" s="408"/>
      <c r="G59" s="408"/>
      <c r="H59" s="424" t="s">
        <v>2348</v>
      </c>
      <c r="I59" s="424"/>
      <c r="J59" s="260">
        <v>108480</v>
      </c>
      <c r="K59" s="261"/>
      <c r="L59" s="425">
        <f t="shared" si="1"/>
        <v>108480</v>
      </c>
      <c r="M59" s="425"/>
      <c r="N59" s="260">
        <v>124752</v>
      </c>
      <c r="O59" s="261"/>
      <c r="P59" s="425">
        <f t="shared" si="2"/>
        <v>124752</v>
      </c>
      <c r="Q59" s="425"/>
      <c r="R59" s="425">
        <f t="shared" si="3"/>
        <v>124752</v>
      </c>
      <c r="S59" s="425"/>
      <c r="T59" s="425">
        <f t="shared" si="4"/>
        <v>124752</v>
      </c>
      <c r="U59" s="425"/>
      <c r="V59" s="425">
        <f t="shared" si="5"/>
        <v>124752</v>
      </c>
      <c r="W59" s="425"/>
      <c r="X59" s="425">
        <f t="shared" si="6"/>
        <v>124752</v>
      </c>
      <c r="Y59" s="425"/>
    </row>
    <row r="60" spans="1:25" ht="21.95" customHeight="1" x14ac:dyDescent="0.25">
      <c r="A60" s="41"/>
      <c r="B60" s="41"/>
      <c r="C60" s="150" t="str">
        <f t="shared" si="0"/>
        <v>NJ_SUSSEX</v>
      </c>
      <c r="D60" s="147" t="s">
        <v>76</v>
      </c>
      <c r="E60" s="408" t="s">
        <v>481</v>
      </c>
      <c r="F60" s="408"/>
      <c r="G60" s="408"/>
      <c r="H60" s="424" t="s">
        <v>2348</v>
      </c>
      <c r="I60" s="424"/>
      <c r="J60" s="260">
        <v>94000</v>
      </c>
      <c r="K60" s="261"/>
      <c r="L60" s="425">
        <f t="shared" si="1"/>
        <v>94000</v>
      </c>
      <c r="M60" s="425"/>
      <c r="N60" s="260">
        <v>108100</v>
      </c>
      <c r="O60" s="261"/>
      <c r="P60" s="425">
        <f t="shared" si="2"/>
        <v>108100</v>
      </c>
      <c r="Q60" s="425"/>
      <c r="R60" s="425">
        <f t="shared" si="3"/>
        <v>108100</v>
      </c>
      <c r="S60" s="425"/>
      <c r="T60" s="425">
        <f t="shared" si="4"/>
        <v>108100</v>
      </c>
      <c r="U60" s="425"/>
      <c r="V60" s="425">
        <f t="shared" si="5"/>
        <v>108100</v>
      </c>
      <c r="W60" s="425"/>
      <c r="X60" s="425">
        <f t="shared" si="6"/>
        <v>108100</v>
      </c>
      <c r="Y60" s="425"/>
    </row>
    <row r="61" spans="1:25" ht="21.95" customHeight="1" x14ac:dyDescent="0.25">
      <c r="A61" s="41"/>
      <c r="B61" s="41"/>
      <c r="C61" s="150" t="str">
        <f t="shared" si="0"/>
        <v>NJ_UNION</v>
      </c>
      <c r="D61" s="147" t="s">
        <v>76</v>
      </c>
      <c r="E61" s="408" t="s">
        <v>356</v>
      </c>
      <c r="F61" s="408"/>
      <c r="G61" s="408"/>
      <c r="H61" s="424" t="s">
        <v>2348</v>
      </c>
      <c r="I61" s="424"/>
      <c r="J61" s="260">
        <v>94000</v>
      </c>
      <c r="K61" s="261"/>
      <c r="L61" s="425">
        <f t="shared" si="1"/>
        <v>94000</v>
      </c>
      <c r="M61" s="425"/>
      <c r="N61" s="260">
        <v>108100</v>
      </c>
      <c r="O61" s="261"/>
      <c r="P61" s="425">
        <f t="shared" si="2"/>
        <v>108100</v>
      </c>
      <c r="Q61" s="425"/>
      <c r="R61" s="425">
        <f t="shared" si="3"/>
        <v>108100</v>
      </c>
      <c r="S61" s="425"/>
      <c r="T61" s="425">
        <f t="shared" si="4"/>
        <v>108100</v>
      </c>
      <c r="U61" s="425"/>
      <c r="V61" s="425">
        <f t="shared" si="5"/>
        <v>108100</v>
      </c>
      <c r="W61" s="425"/>
      <c r="X61" s="425">
        <f t="shared" si="6"/>
        <v>108100</v>
      </c>
      <c r="Y61" s="425"/>
    </row>
    <row r="62" spans="1:25" ht="21.95" customHeight="1" x14ac:dyDescent="0.25">
      <c r="A62" s="41"/>
      <c r="B62" s="41"/>
      <c r="C62" s="150" t="str">
        <f t="shared" si="0"/>
        <v>NJ_WARREN</v>
      </c>
      <c r="D62" s="147" t="s">
        <v>76</v>
      </c>
      <c r="E62" s="408" t="s">
        <v>633</v>
      </c>
      <c r="F62" s="408"/>
      <c r="G62" s="408"/>
      <c r="H62" s="424" t="s">
        <v>2348</v>
      </c>
      <c r="I62" s="424"/>
      <c r="J62" s="260">
        <v>94640</v>
      </c>
      <c r="K62" s="261"/>
      <c r="L62" s="425">
        <f t="shared" si="1"/>
        <v>94640</v>
      </c>
      <c r="M62" s="425"/>
      <c r="N62" s="260">
        <v>108836</v>
      </c>
      <c r="O62" s="261"/>
      <c r="P62" s="425">
        <f t="shared" si="2"/>
        <v>108836</v>
      </c>
      <c r="Q62" s="425"/>
      <c r="R62" s="425">
        <f t="shared" si="3"/>
        <v>108836</v>
      </c>
      <c r="S62" s="425"/>
      <c r="T62" s="425">
        <f t="shared" si="4"/>
        <v>108836</v>
      </c>
      <c r="U62" s="425"/>
      <c r="V62" s="425">
        <f t="shared" si="5"/>
        <v>108836</v>
      </c>
      <c r="W62" s="425"/>
      <c r="X62" s="425">
        <f t="shared" si="6"/>
        <v>108836</v>
      </c>
      <c r="Y62" s="425"/>
    </row>
    <row r="63" spans="1:25" ht="21.95" customHeight="1" x14ac:dyDescent="0.25">
      <c r="A63" s="41"/>
      <c r="B63" s="41"/>
      <c r="C63" s="150" t="str">
        <f t="shared" si="0"/>
        <v>NY_ALBANY</v>
      </c>
      <c r="D63" s="147" t="s">
        <v>55</v>
      </c>
      <c r="E63" s="408" t="s">
        <v>1373</v>
      </c>
      <c r="F63" s="408"/>
      <c r="G63" s="408"/>
      <c r="H63" s="424" t="s">
        <v>2348</v>
      </c>
      <c r="I63" s="424"/>
      <c r="J63" s="260">
        <v>84800</v>
      </c>
      <c r="K63" s="261"/>
      <c r="L63" s="425">
        <f t="shared" si="1"/>
        <v>84800</v>
      </c>
      <c r="M63" s="425"/>
      <c r="N63" s="260">
        <v>97520</v>
      </c>
      <c r="O63" s="261"/>
      <c r="P63" s="425">
        <f t="shared" si="2"/>
        <v>97520</v>
      </c>
      <c r="Q63" s="425"/>
      <c r="R63" s="425">
        <f t="shared" si="3"/>
        <v>97520</v>
      </c>
      <c r="S63" s="425"/>
      <c r="T63" s="425">
        <f t="shared" si="4"/>
        <v>97520</v>
      </c>
      <c r="U63" s="425"/>
      <c r="V63" s="425">
        <f t="shared" si="5"/>
        <v>97520</v>
      </c>
      <c r="W63" s="425"/>
      <c r="X63" s="425">
        <f t="shared" si="6"/>
        <v>97520</v>
      </c>
      <c r="Y63" s="425"/>
    </row>
    <row r="64" spans="1:25" ht="21.95" customHeight="1" x14ac:dyDescent="0.25">
      <c r="A64" s="41"/>
      <c r="B64" s="41"/>
      <c r="C64" s="150" t="str">
        <f t="shared" si="0"/>
        <v>NY_ALLEGANY</v>
      </c>
      <c r="D64" s="147" t="s">
        <v>55</v>
      </c>
      <c r="E64" s="408" t="s">
        <v>1015</v>
      </c>
      <c r="F64" s="408"/>
      <c r="G64" s="408"/>
      <c r="H64" s="424" t="s">
        <v>2348</v>
      </c>
      <c r="I64" s="424"/>
      <c r="J64" s="260">
        <v>79600</v>
      </c>
      <c r="K64" s="261"/>
      <c r="L64" s="425">
        <f t="shared" si="1"/>
        <v>79600</v>
      </c>
      <c r="M64" s="425"/>
      <c r="N64" s="260">
        <v>91540</v>
      </c>
      <c r="O64" s="261"/>
      <c r="P64" s="425">
        <f t="shared" si="2"/>
        <v>91540</v>
      </c>
      <c r="Q64" s="425"/>
      <c r="R64" s="425">
        <f t="shared" si="3"/>
        <v>91540</v>
      </c>
      <c r="S64" s="425"/>
      <c r="T64" s="425">
        <f t="shared" si="4"/>
        <v>91540</v>
      </c>
      <c r="U64" s="425"/>
      <c r="V64" s="425">
        <f t="shared" si="5"/>
        <v>91540</v>
      </c>
      <c r="W64" s="425"/>
      <c r="X64" s="425">
        <f t="shared" si="6"/>
        <v>91540</v>
      </c>
      <c r="Y64" s="425"/>
    </row>
    <row r="65" spans="1:25" ht="21.95" customHeight="1" x14ac:dyDescent="0.25">
      <c r="A65" s="41"/>
      <c r="B65" s="41"/>
      <c r="C65" s="150" t="str">
        <f t="shared" si="0"/>
        <v>NY_BRONX</v>
      </c>
      <c r="D65" s="147" t="s">
        <v>55</v>
      </c>
      <c r="E65" s="408" t="s">
        <v>1374</v>
      </c>
      <c r="F65" s="408"/>
      <c r="G65" s="408"/>
      <c r="H65" s="424" t="s">
        <v>2348</v>
      </c>
      <c r="I65" s="424"/>
      <c r="J65" s="260">
        <v>128064</v>
      </c>
      <c r="K65" s="261"/>
      <c r="L65" s="425">
        <f t="shared" si="1"/>
        <v>128064</v>
      </c>
      <c r="M65" s="425"/>
      <c r="N65" s="260">
        <v>149408</v>
      </c>
      <c r="O65" s="261"/>
      <c r="P65" s="425">
        <f t="shared" si="2"/>
        <v>149408</v>
      </c>
      <c r="Q65" s="425"/>
      <c r="R65" s="425">
        <f t="shared" si="3"/>
        <v>149408</v>
      </c>
      <c r="S65" s="425"/>
      <c r="T65" s="425">
        <f t="shared" si="4"/>
        <v>149408</v>
      </c>
      <c r="U65" s="425"/>
      <c r="V65" s="425">
        <f t="shared" si="5"/>
        <v>149408</v>
      </c>
      <c r="W65" s="425"/>
      <c r="X65" s="425">
        <f t="shared" si="6"/>
        <v>149408</v>
      </c>
      <c r="Y65" s="425"/>
    </row>
    <row r="66" spans="1:25" ht="21.95" customHeight="1" x14ac:dyDescent="0.25">
      <c r="A66" s="41"/>
      <c r="B66" s="41"/>
      <c r="C66" s="150" t="str">
        <f t="shared" si="0"/>
        <v>NY_BROOME</v>
      </c>
      <c r="D66" s="147" t="s">
        <v>55</v>
      </c>
      <c r="E66" s="408" t="s">
        <v>1375</v>
      </c>
      <c r="F66" s="408"/>
      <c r="G66" s="408"/>
      <c r="H66" s="424" t="s">
        <v>2348</v>
      </c>
      <c r="I66" s="424"/>
      <c r="J66" s="260">
        <v>79600</v>
      </c>
      <c r="K66" s="261"/>
      <c r="L66" s="425">
        <f t="shared" si="1"/>
        <v>79600</v>
      </c>
      <c r="M66" s="425"/>
      <c r="N66" s="260">
        <v>91540</v>
      </c>
      <c r="O66" s="261"/>
      <c r="P66" s="425">
        <f t="shared" si="2"/>
        <v>91540</v>
      </c>
      <c r="Q66" s="425"/>
      <c r="R66" s="425">
        <f t="shared" si="3"/>
        <v>91540</v>
      </c>
      <c r="S66" s="425"/>
      <c r="T66" s="425">
        <f t="shared" si="4"/>
        <v>91540</v>
      </c>
      <c r="U66" s="425"/>
      <c r="V66" s="425">
        <f t="shared" si="5"/>
        <v>91540</v>
      </c>
      <c r="W66" s="425"/>
      <c r="X66" s="425">
        <f t="shared" si="6"/>
        <v>91540</v>
      </c>
      <c r="Y66" s="425"/>
    </row>
    <row r="67" spans="1:25" ht="21.95" customHeight="1" x14ac:dyDescent="0.25">
      <c r="A67" s="41"/>
      <c r="B67" s="41"/>
      <c r="C67" s="150" t="str">
        <f t="shared" si="0"/>
        <v>NY_CATTARAUGUS</v>
      </c>
      <c r="D67" s="147" t="s">
        <v>55</v>
      </c>
      <c r="E67" s="408" t="s">
        <v>1376</v>
      </c>
      <c r="F67" s="408"/>
      <c r="G67" s="408"/>
      <c r="H67" s="424" t="s">
        <v>2348</v>
      </c>
      <c r="I67" s="424"/>
      <c r="J67" s="260">
        <v>79600</v>
      </c>
      <c r="K67" s="261"/>
      <c r="L67" s="425">
        <f t="shared" si="1"/>
        <v>79600</v>
      </c>
      <c r="M67" s="425"/>
      <c r="N67" s="260">
        <v>91540</v>
      </c>
      <c r="O67" s="261"/>
      <c r="P67" s="425">
        <f t="shared" si="2"/>
        <v>91540</v>
      </c>
      <c r="Q67" s="425"/>
      <c r="R67" s="425">
        <f t="shared" si="3"/>
        <v>91540</v>
      </c>
      <c r="S67" s="425"/>
      <c r="T67" s="425">
        <f t="shared" si="4"/>
        <v>91540</v>
      </c>
      <c r="U67" s="425"/>
      <c r="V67" s="425">
        <f t="shared" si="5"/>
        <v>91540</v>
      </c>
      <c r="W67" s="425"/>
      <c r="X67" s="425">
        <f t="shared" si="6"/>
        <v>91540</v>
      </c>
      <c r="Y67" s="425"/>
    </row>
    <row r="68" spans="1:25" ht="21.95" customHeight="1" x14ac:dyDescent="0.25">
      <c r="A68" s="41"/>
      <c r="B68" s="41"/>
      <c r="C68" s="150" t="str">
        <f t="shared" si="0"/>
        <v>NY_CAYUGA</v>
      </c>
      <c r="D68" s="147" t="s">
        <v>55</v>
      </c>
      <c r="E68" s="408" t="s">
        <v>1377</v>
      </c>
      <c r="F68" s="408"/>
      <c r="G68" s="408"/>
      <c r="H68" s="424" t="s">
        <v>2348</v>
      </c>
      <c r="I68" s="424"/>
      <c r="J68" s="260">
        <v>79600</v>
      </c>
      <c r="K68" s="261"/>
      <c r="L68" s="425">
        <f t="shared" si="1"/>
        <v>79600</v>
      </c>
      <c r="M68" s="425"/>
      <c r="N68" s="260">
        <v>91540</v>
      </c>
      <c r="O68" s="261"/>
      <c r="P68" s="425">
        <f t="shared" si="2"/>
        <v>91540</v>
      </c>
      <c r="Q68" s="425"/>
      <c r="R68" s="425">
        <f t="shared" si="3"/>
        <v>91540</v>
      </c>
      <c r="S68" s="425"/>
      <c r="T68" s="425">
        <f t="shared" si="4"/>
        <v>91540</v>
      </c>
      <c r="U68" s="425"/>
      <c r="V68" s="425">
        <f t="shared" si="5"/>
        <v>91540</v>
      </c>
      <c r="W68" s="425"/>
      <c r="X68" s="425">
        <f t="shared" si="6"/>
        <v>91540</v>
      </c>
      <c r="Y68" s="425"/>
    </row>
    <row r="69" spans="1:25" ht="21.95" customHeight="1" x14ac:dyDescent="0.25">
      <c r="A69" s="41"/>
      <c r="B69" s="41"/>
      <c r="C69" s="150" t="str">
        <f t="shared" si="0"/>
        <v>NY_CHAUTAUQUA</v>
      </c>
      <c r="D69" s="147" t="s">
        <v>55</v>
      </c>
      <c r="E69" s="408" t="s">
        <v>825</v>
      </c>
      <c r="F69" s="408"/>
      <c r="G69" s="408"/>
      <c r="H69" s="424" t="s">
        <v>2348</v>
      </c>
      <c r="I69" s="424"/>
      <c r="J69" s="260">
        <v>79600</v>
      </c>
      <c r="K69" s="261"/>
      <c r="L69" s="425">
        <f t="shared" si="1"/>
        <v>79600</v>
      </c>
      <c r="M69" s="425"/>
      <c r="N69" s="260">
        <v>91540</v>
      </c>
      <c r="O69" s="261"/>
      <c r="P69" s="425">
        <f t="shared" si="2"/>
        <v>91540</v>
      </c>
      <c r="Q69" s="425"/>
      <c r="R69" s="425">
        <f t="shared" si="3"/>
        <v>91540</v>
      </c>
      <c r="S69" s="425"/>
      <c r="T69" s="425">
        <f t="shared" si="4"/>
        <v>91540</v>
      </c>
      <c r="U69" s="425"/>
      <c r="V69" s="425">
        <f t="shared" si="5"/>
        <v>91540</v>
      </c>
      <c r="W69" s="425"/>
      <c r="X69" s="425">
        <f t="shared" si="6"/>
        <v>91540</v>
      </c>
      <c r="Y69" s="425"/>
    </row>
    <row r="70" spans="1:25" ht="21.95" customHeight="1" x14ac:dyDescent="0.25">
      <c r="A70" s="41"/>
      <c r="B70" s="41"/>
      <c r="C70" s="150" t="str">
        <f t="shared" si="0"/>
        <v>NY_CHEMUNG</v>
      </c>
      <c r="D70" s="147" t="s">
        <v>55</v>
      </c>
      <c r="E70" s="408" t="s">
        <v>1378</v>
      </c>
      <c r="F70" s="408"/>
      <c r="G70" s="408"/>
      <c r="H70" s="424" t="s">
        <v>2348</v>
      </c>
      <c r="I70" s="424"/>
      <c r="J70" s="260">
        <v>79600</v>
      </c>
      <c r="K70" s="261"/>
      <c r="L70" s="425">
        <f t="shared" si="1"/>
        <v>79600</v>
      </c>
      <c r="M70" s="425"/>
      <c r="N70" s="260">
        <v>91540</v>
      </c>
      <c r="O70" s="261"/>
      <c r="P70" s="425">
        <f t="shared" si="2"/>
        <v>91540</v>
      </c>
      <c r="Q70" s="425"/>
      <c r="R70" s="425">
        <f t="shared" si="3"/>
        <v>91540</v>
      </c>
      <c r="S70" s="425"/>
      <c r="T70" s="425">
        <f t="shared" si="4"/>
        <v>91540</v>
      </c>
      <c r="U70" s="425"/>
      <c r="V70" s="425">
        <f t="shared" si="5"/>
        <v>91540</v>
      </c>
      <c r="W70" s="425"/>
      <c r="X70" s="425">
        <f t="shared" si="6"/>
        <v>91540</v>
      </c>
      <c r="Y70" s="425"/>
    </row>
    <row r="71" spans="1:25" ht="21.95" customHeight="1" x14ac:dyDescent="0.25">
      <c r="A71" s="41"/>
      <c r="B71" s="41"/>
      <c r="C71" s="150" t="str">
        <f t="shared" si="0"/>
        <v>NY_CHENANGO</v>
      </c>
      <c r="D71" s="147" t="s">
        <v>55</v>
      </c>
      <c r="E71" s="408" t="s">
        <v>1379</v>
      </c>
      <c r="F71" s="408"/>
      <c r="G71" s="408"/>
      <c r="H71" s="424" t="s">
        <v>2348</v>
      </c>
      <c r="I71" s="424"/>
      <c r="J71" s="260">
        <v>79600</v>
      </c>
      <c r="K71" s="261"/>
      <c r="L71" s="425">
        <f t="shared" si="1"/>
        <v>79600</v>
      </c>
      <c r="M71" s="425"/>
      <c r="N71" s="260">
        <v>91540</v>
      </c>
      <c r="O71" s="261"/>
      <c r="P71" s="425">
        <f t="shared" si="2"/>
        <v>91540</v>
      </c>
      <c r="Q71" s="425"/>
      <c r="R71" s="425">
        <f t="shared" si="3"/>
        <v>91540</v>
      </c>
      <c r="S71" s="425"/>
      <c r="T71" s="425">
        <f t="shared" si="4"/>
        <v>91540</v>
      </c>
      <c r="U71" s="425"/>
      <c r="V71" s="425">
        <f t="shared" si="5"/>
        <v>91540</v>
      </c>
      <c r="W71" s="425"/>
      <c r="X71" s="425">
        <f t="shared" si="6"/>
        <v>91540</v>
      </c>
      <c r="Y71" s="425"/>
    </row>
    <row r="72" spans="1:25" ht="21.95" customHeight="1" x14ac:dyDescent="0.25">
      <c r="A72" s="41"/>
      <c r="B72" s="41"/>
      <c r="C72" s="150" t="str">
        <f t="shared" si="0"/>
        <v>NY_CLINTON</v>
      </c>
      <c r="D72" s="147" t="s">
        <v>55</v>
      </c>
      <c r="E72" s="408" t="s">
        <v>686</v>
      </c>
      <c r="F72" s="408"/>
      <c r="G72" s="408"/>
      <c r="H72" s="424" t="s">
        <v>2348</v>
      </c>
      <c r="I72" s="424"/>
      <c r="J72" s="260">
        <v>79600</v>
      </c>
      <c r="K72" s="261"/>
      <c r="L72" s="425">
        <f t="shared" si="1"/>
        <v>79600</v>
      </c>
      <c r="M72" s="425"/>
      <c r="N72" s="260">
        <v>91540</v>
      </c>
      <c r="O72" s="261"/>
      <c r="P72" s="425">
        <f t="shared" si="2"/>
        <v>91540</v>
      </c>
      <c r="Q72" s="425"/>
      <c r="R72" s="425">
        <f t="shared" si="3"/>
        <v>91540</v>
      </c>
      <c r="S72" s="425"/>
      <c r="T72" s="425">
        <f t="shared" si="4"/>
        <v>91540</v>
      </c>
      <c r="U72" s="425"/>
      <c r="V72" s="425">
        <f t="shared" si="5"/>
        <v>91540</v>
      </c>
      <c r="W72" s="425"/>
      <c r="X72" s="425">
        <f t="shared" si="6"/>
        <v>91540</v>
      </c>
      <c r="Y72" s="425"/>
    </row>
    <row r="73" spans="1:25" ht="21.95" customHeight="1" x14ac:dyDescent="0.25">
      <c r="A73" s="41"/>
      <c r="B73" s="41"/>
      <c r="C73" s="150" t="str">
        <f t="shared" si="0"/>
        <v>NY_COLUMBIA</v>
      </c>
      <c r="D73" s="147" t="s">
        <v>55</v>
      </c>
      <c r="E73" s="408" t="s">
        <v>314</v>
      </c>
      <c r="F73" s="408"/>
      <c r="G73" s="408"/>
      <c r="H73" s="424" t="s">
        <v>2348</v>
      </c>
      <c r="I73" s="424"/>
      <c r="J73" s="260">
        <v>79600</v>
      </c>
      <c r="K73" s="261"/>
      <c r="L73" s="425">
        <f t="shared" si="1"/>
        <v>79600</v>
      </c>
      <c r="M73" s="425"/>
      <c r="N73" s="260">
        <v>91540</v>
      </c>
      <c r="O73" s="261"/>
      <c r="P73" s="425">
        <f t="shared" si="2"/>
        <v>91540</v>
      </c>
      <c r="Q73" s="425"/>
      <c r="R73" s="425">
        <f t="shared" si="3"/>
        <v>91540</v>
      </c>
      <c r="S73" s="425"/>
      <c r="T73" s="425">
        <f t="shared" si="4"/>
        <v>91540</v>
      </c>
      <c r="U73" s="425"/>
      <c r="V73" s="425">
        <f t="shared" si="5"/>
        <v>91540</v>
      </c>
      <c r="W73" s="425"/>
      <c r="X73" s="425">
        <f t="shared" si="6"/>
        <v>91540</v>
      </c>
      <c r="Y73" s="425"/>
    </row>
    <row r="74" spans="1:25" ht="21.95" customHeight="1" x14ac:dyDescent="0.25">
      <c r="A74" s="41"/>
      <c r="B74" s="41"/>
      <c r="C74" s="150" t="str">
        <f t="shared" si="0"/>
        <v>NY_CORTLAND</v>
      </c>
      <c r="D74" s="147" t="s">
        <v>55</v>
      </c>
      <c r="E74" s="408" t="s">
        <v>1380</v>
      </c>
      <c r="F74" s="408"/>
      <c r="G74" s="408"/>
      <c r="H74" s="424" t="s">
        <v>2348</v>
      </c>
      <c r="I74" s="424"/>
      <c r="J74" s="260">
        <v>79600</v>
      </c>
      <c r="K74" s="261"/>
      <c r="L74" s="425">
        <f t="shared" si="1"/>
        <v>79600</v>
      </c>
      <c r="M74" s="425"/>
      <c r="N74" s="260">
        <v>91540</v>
      </c>
      <c r="O74" s="261"/>
      <c r="P74" s="425">
        <f t="shared" si="2"/>
        <v>91540</v>
      </c>
      <c r="Q74" s="425"/>
      <c r="R74" s="425">
        <f t="shared" si="3"/>
        <v>91540</v>
      </c>
      <c r="S74" s="425"/>
      <c r="T74" s="425">
        <f t="shared" si="4"/>
        <v>91540</v>
      </c>
      <c r="U74" s="425"/>
      <c r="V74" s="425">
        <f t="shared" si="5"/>
        <v>91540</v>
      </c>
      <c r="W74" s="425"/>
      <c r="X74" s="425">
        <f t="shared" si="6"/>
        <v>91540</v>
      </c>
      <c r="Y74" s="425"/>
    </row>
    <row r="75" spans="1:25" ht="21.95" customHeight="1" x14ac:dyDescent="0.25">
      <c r="A75" s="41"/>
      <c r="B75" s="41"/>
      <c r="C75" s="150" t="str">
        <f t="shared" si="0"/>
        <v>NY_DELAWARE</v>
      </c>
      <c r="D75" s="147" t="s">
        <v>55</v>
      </c>
      <c r="E75" s="408" t="s">
        <v>738</v>
      </c>
      <c r="F75" s="408"/>
      <c r="G75" s="408"/>
      <c r="H75" s="424" t="s">
        <v>2348</v>
      </c>
      <c r="I75" s="424"/>
      <c r="J75" s="260">
        <v>79600</v>
      </c>
      <c r="K75" s="261"/>
      <c r="L75" s="425">
        <f t="shared" si="1"/>
        <v>79600</v>
      </c>
      <c r="M75" s="425"/>
      <c r="N75" s="260">
        <v>91540</v>
      </c>
      <c r="O75" s="261"/>
      <c r="P75" s="425">
        <f t="shared" si="2"/>
        <v>91540</v>
      </c>
      <c r="Q75" s="425"/>
      <c r="R75" s="425">
        <f t="shared" si="3"/>
        <v>91540</v>
      </c>
      <c r="S75" s="425"/>
      <c r="T75" s="425">
        <f t="shared" si="4"/>
        <v>91540</v>
      </c>
      <c r="U75" s="425"/>
      <c r="V75" s="425">
        <f t="shared" si="5"/>
        <v>91540</v>
      </c>
      <c r="W75" s="425"/>
      <c r="X75" s="425">
        <f t="shared" si="6"/>
        <v>91540</v>
      </c>
      <c r="Y75" s="425"/>
    </row>
    <row r="76" spans="1:25" ht="21.95" customHeight="1" x14ac:dyDescent="0.25">
      <c r="A76" s="41"/>
      <c r="B76" s="41"/>
      <c r="C76" s="150" t="str">
        <f t="shared" si="0"/>
        <v>NY_DUTCHESS</v>
      </c>
      <c r="D76" s="147" t="s">
        <v>55</v>
      </c>
      <c r="E76" s="408" t="s">
        <v>1381</v>
      </c>
      <c r="F76" s="408"/>
      <c r="G76" s="408"/>
      <c r="H76" s="424" t="s">
        <v>2348</v>
      </c>
      <c r="I76" s="424"/>
      <c r="J76" s="260">
        <v>89920</v>
      </c>
      <c r="K76" s="261"/>
      <c r="L76" s="425">
        <f t="shared" si="1"/>
        <v>89920</v>
      </c>
      <c r="M76" s="425"/>
      <c r="N76" s="260">
        <v>103408</v>
      </c>
      <c r="O76" s="261"/>
      <c r="P76" s="425">
        <f t="shared" si="2"/>
        <v>103408</v>
      </c>
      <c r="Q76" s="425"/>
      <c r="R76" s="425">
        <f t="shared" si="3"/>
        <v>103408</v>
      </c>
      <c r="S76" s="425"/>
      <c r="T76" s="425">
        <f t="shared" si="4"/>
        <v>103408</v>
      </c>
      <c r="U76" s="425"/>
      <c r="V76" s="425">
        <f t="shared" si="5"/>
        <v>103408</v>
      </c>
      <c r="W76" s="425"/>
      <c r="X76" s="425">
        <f t="shared" si="6"/>
        <v>103408</v>
      </c>
      <c r="Y76" s="425"/>
    </row>
    <row r="77" spans="1:25" ht="21.95" customHeight="1" x14ac:dyDescent="0.25">
      <c r="A77" s="41"/>
      <c r="B77" s="41"/>
      <c r="C77" s="150" t="str">
        <f t="shared" si="0"/>
        <v>NY_ERIE</v>
      </c>
      <c r="D77" s="147" t="s">
        <v>55</v>
      </c>
      <c r="E77" s="408" t="s">
        <v>1382</v>
      </c>
      <c r="F77" s="408"/>
      <c r="G77" s="408"/>
      <c r="H77" s="424" t="s">
        <v>2348</v>
      </c>
      <c r="I77" s="424"/>
      <c r="J77" s="260">
        <v>79600</v>
      </c>
      <c r="K77" s="261"/>
      <c r="L77" s="425">
        <f t="shared" si="1"/>
        <v>79600</v>
      </c>
      <c r="M77" s="425"/>
      <c r="N77" s="260">
        <v>91540</v>
      </c>
      <c r="O77" s="261"/>
      <c r="P77" s="425">
        <f t="shared" si="2"/>
        <v>91540</v>
      </c>
      <c r="Q77" s="425"/>
      <c r="R77" s="425">
        <f t="shared" si="3"/>
        <v>91540</v>
      </c>
      <c r="S77" s="425"/>
      <c r="T77" s="425">
        <f t="shared" si="4"/>
        <v>91540</v>
      </c>
      <c r="U77" s="425"/>
      <c r="V77" s="425">
        <f t="shared" si="5"/>
        <v>91540</v>
      </c>
      <c r="W77" s="425"/>
      <c r="X77" s="425">
        <f t="shared" si="6"/>
        <v>91540</v>
      </c>
      <c r="Y77" s="425"/>
    </row>
    <row r="78" spans="1:25" ht="21.95" customHeight="1" x14ac:dyDescent="0.25">
      <c r="A78" s="41"/>
      <c r="B78" s="41"/>
      <c r="C78" s="150" t="str">
        <f t="shared" si="0"/>
        <v>NY_ESSEX</v>
      </c>
      <c r="D78" s="147" t="s">
        <v>55</v>
      </c>
      <c r="E78" s="408" t="s">
        <v>1036</v>
      </c>
      <c r="F78" s="408"/>
      <c r="G78" s="408"/>
      <c r="H78" s="424" t="s">
        <v>2348</v>
      </c>
      <c r="I78" s="424"/>
      <c r="J78" s="260">
        <v>79600</v>
      </c>
      <c r="K78" s="261"/>
      <c r="L78" s="425">
        <f t="shared" si="1"/>
        <v>79600</v>
      </c>
      <c r="M78" s="425"/>
      <c r="N78" s="260">
        <v>91540</v>
      </c>
      <c r="O78" s="261"/>
      <c r="P78" s="425">
        <f t="shared" si="2"/>
        <v>91540</v>
      </c>
      <c r="Q78" s="425"/>
      <c r="R78" s="425">
        <f t="shared" si="3"/>
        <v>91540</v>
      </c>
      <c r="S78" s="425"/>
      <c r="T78" s="425">
        <f t="shared" si="4"/>
        <v>91540</v>
      </c>
      <c r="U78" s="425"/>
      <c r="V78" s="425">
        <f t="shared" si="5"/>
        <v>91540</v>
      </c>
      <c r="W78" s="425"/>
      <c r="X78" s="425">
        <f t="shared" si="6"/>
        <v>91540</v>
      </c>
      <c r="Y78" s="425"/>
    </row>
    <row r="79" spans="1:25" ht="21.95" customHeight="1" x14ac:dyDescent="0.25">
      <c r="A79" s="41"/>
      <c r="B79" s="41"/>
      <c r="C79" s="150" t="str">
        <f t="shared" si="0"/>
        <v>NY_FRANKLIN</v>
      </c>
      <c r="D79" s="147" t="s">
        <v>55</v>
      </c>
      <c r="E79" s="408" t="s">
        <v>226</v>
      </c>
      <c r="F79" s="408"/>
      <c r="G79" s="408"/>
      <c r="H79" s="424" t="s">
        <v>2348</v>
      </c>
      <c r="I79" s="424"/>
      <c r="J79" s="260">
        <v>79600</v>
      </c>
      <c r="K79" s="261"/>
      <c r="L79" s="425">
        <f t="shared" si="1"/>
        <v>79600</v>
      </c>
      <c r="M79" s="425"/>
      <c r="N79" s="260">
        <v>91540</v>
      </c>
      <c r="O79" s="261"/>
      <c r="P79" s="425">
        <f t="shared" si="2"/>
        <v>91540</v>
      </c>
      <c r="Q79" s="425"/>
      <c r="R79" s="425">
        <f t="shared" si="3"/>
        <v>91540</v>
      </c>
      <c r="S79" s="425"/>
      <c r="T79" s="425">
        <f t="shared" si="4"/>
        <v>91540</v>
      </c>
      <c r="U79" s="425"/>
      <c r="V79" s="425">
        <f t="shared" si="5"/>
        <v>91540</v>
      </c>
      <c r="W79" s="425"/>
      <c r="X79" s="425">
        <f t="shared" si="6"/>
        <v>91540</v>
      </c>
      <c r="Y79" s="425"/>
    </row>
    <row r="80" spans="1:25" ht="21.95" customHeight="1" x14ac:dyDescent="0.25">
      <c r="A80" s="41"/>
      <c r="B80" s="41"/>
      <c r="C80" s="150" t="str">
        <f t="shared" si="0"/>
        <v>NY_FULTON</v>
      </c>
      <c r="D80" s="147" t="s">
        <v>55</v>
      </c>
      <c r="E80" s="408" t="s">
        <v>323</v>
      </c>
      <c r="F80" s="408"/>
      <c r="G80" s="408"/>
      <c r="H80" s="424" t="s">
        <v>2348</v>
      </c>
      <c r="I80" s="424"/>
      <c r="J80" s="260">
        <v>79600</v>
      </c>
      <c r="K80" s="261"/>
      <c r="L80" s="425">
        <f t="shared" si="1"/>
        <v>79600</v>
      </c>
      <c r="M80" s="425"/>
      <c r="N80" s="260">
        <v>91540</v>
      </c>
      <c r="O80" s="261"/>
      <c r="P80" s="425">
        <f t="shared" si="2"/>
        <v>91540</v>
      </c>
      <c r="Q80" s="425"/>
      <c r="R80" s="425">
        <f t="shared" si="3"/>
        <v>91540</v>
      </c>
      <c r="S80" s="425"/>
      <c r="T80" s="425">
        <f t="shared" si="4"/>
        <v>91540</v>
      </c>
      <c r="U80" s="425"/>
      <c r="V80" s="425">
        <f t="shared" si="5"/>
        <v>91540</v>
      </c>
      <c r="W80" s="425"/>
      <c r="X80" s="425">
        <f t="shared" si="6"/>
        <v>91540</v>
      </c>
      <c r="Y80" s="425"/>
    </row>
    <row r="81" spans="1:25" ht="21.95" customHeight="1" x14ac:dyDescent="0.25">
      <c r="A81" s="41"/>
      <c r="B81" s="41"/>
      <c r="C81" s="150" t="str">
        <f t="shared" si="0"/>
        <v>NY_GENESEE</v>
      </c>
      <c r="D81" s="147" t="s">
        <v>55</v>
      </c>
      <c r="E81" s="408" t="s">
        <v>1057</v>
      </c>
      <c r="F81" s="408"/>
      <c r="G81" s="408"/>
      <c r="H81" s="424" t="s">
        <v>2348</v>
      </c>
      <c r="I81" s="424"/>
      <c r="J81" s="260">
        <v>79600</v>
      </c>
      <c r="K81" s="261"/>
      <c r="L81" s="425">
        <f t="shared" si="1"/>
        <v>79600</v>
      </c>
      <c r="M81" s="425"/>
      <c r="N81" s="260">
        <v>91540</v>
      </c>
      <c r="O81" s="261"/>
      <c r="P81" s="425">
        <f t="shared" si="2"/>
        <v>91540</v>
      </c>
      <c r="Q81" s="425"/>
      <c r="R81" s="425">
        <f t="shared" si="3"/>
        <v>91540</v>
      </c>
      <c r="S81" s="425"/>
      <c r="T81" s="425">
        <f t="shared" si="4"/>
        <v>91540</v>
      </c>
      <c r="U81" s="425"/>
      <c r="V81" s="425">
        <f t="shared" si="5"/>
        <v>91540</v>
      </c>
      <c r="W81" s="425"/>
      <c r="X81" s="425">
        <f t="shared" si="6"/>
        <v>91540</v>
      </c>
      <c r="Y81" s="425"/>
    </row>
    <row r="82" spans="1:25" ht="21.95" customHeight="1" x14ac:dyDescent="0.25">
      <c r="A82" s="41"/>
      <c r="B82" s="41"/>
      <c r="C82" s="150" t="str">
        <f t="shared" si="0"/>
        <v>NY_GREENE</v>
      </c>
      <c r="D82" s="147" t="s">
        <v>55</v>
      </c>
      <c r="E82" s="408" t="s">
        <v>228</v>
      </c>
      <c r="F82" s="408"/>
      <c r="G82" s="408"/>
      <c r="H82" s="424" t="s">
        <v>2348</v>
      </c>
      <c r="I82" s="424"/>
      <c r="J82" s="260">
        <v>79600</v>
      </c>
      <c r="K82" s="261"/>
      <c r="L82" s="425">
        <f t="shared" si="1"/>
        <v>79600</v>
      </c>
      <c r="M82" s="425"/>
      <c r="N82" s="260">
        <v>91540</v>
      </c>
      <c r="O82" s="261"/>
      <c r="P82" s="425">
        <f t="shared" si="2"/>
        <v>91540</v>
      </c>
      <c r="Q82" s="425"/>
      <c r="R82" s="425">
        <f t="shared" si="3"/>
        <v>91540</v>
      </c>
      <c r="S82" s="425"/>
      <c r="T82" s="425">
        <f t="shared" si="4"/>
        <v>91540</v>
      </c>
      <c r="U82" s="425"/>
      <c r="V82" s="425">
        <f t="shared" si="5"/>
        <v>91540</v>
      </c>
      <c r="W82" s="425"/>
      <c r="X82" s="425">
        <f t="shared" si="6"/>
        <v>91540</v>
      </c>
      <c r="Y82" s="425"/>
    </row>
    <row r="83" spans="1:25" ht="21.95" customHeight="1" x14ac:dyDescent="0.25">
      <c r="A83" s="41"/>
      <c r="B83" s="41"/>
      <c r="C83" s="150" t="str">
        <f t="shared" si="0"/>
        <v>NY_HAMILTON</v>
      </c>
      <c r="D83" s="147" t="s">
        <v>55</v>
      </c>
      <c r="E83" s="408" t="s">
        <v>502</v>
      </c>
      <c r="F83" s="408"/>
      <c r="G83" s="408"/>
      <c r="H83" s="424" t="s">
        <v>2348</v>
      </c>
      <c r="I83" s="424"/>
      <c r="J83" s="260">
        <v>79600</v>
      </c>
      <c r="K83" s="261"/>
      <c r="L83" s="425">
        <f t="shared" si="1"/>
        <v>79600</v>
      </c>
      <c r="M83" s="425"/>
      <c r="N83" s="260">
        <v>91540</v>
      </c>
      <c r="O83" s="261"/>
      <c r="P83" s="425">
        <f t="shared" si="2"/>
        <v>91540</v>
      </c>
      <c r="Q83" s="425"/>
      <c r="R83" s="425">
        <f t="shared" si="3"/>
        <v>91540</v>
      </c>
      <c r="S83" s="425"/>
      <c r="T83" s="425">
        <f t="shared" si="4"/>
        <v>91540</v>
      </c>
      <c r="U83" s="425"/>
      <c r="V83" s="425">
        <f t="shared" si="5"/>
        <v>91540</v>
      </c>
      <c r="W83" s="425"/>
      <c r="X83" s="425">
        <f t="shared" si="6"/>
        <v>91540</v>
      </c>
      <c r="Y83" s="425"/>
    </row>
    <row r="84" spans="1:25" ht="21.95" customHeight="1" x14ac:dyDescent="0.25">
      <c r="A84" s="41"/>
      <c r="B84" s="41"/>
      <c r="C84" s="150" t="str">
        <f t="shared" si="0"/>
        <v>NY_HERKIMER</v>
      </c>
      <c r="D84" s="147" t="s">
        <v>55</v>
      </c>
      <c r="E84" s="408" t="s">
        <v>1383</v>
      </c>
      <c r="F84" s="408"/>
      <c r="G84" s="408"/>
      <c r="H84" s="424" t="s">
        <v>2348</v>
      </c>
      <c r="I84" s="424"/>
      <c r="J84" s="260">
        <v>79600</v>
      </c>
      <c r="K84" s="261"/>
      <c r="L84" s="425">
        <f t="shared" si="1"/>
        <v>79600</v>
      </c>
      <c r="M84" s="425"/>
      <c r="N84" s="260">
        <v>91540</v>
      </c>
      <c r="O84" s="261"/>
      <c r="P84" s="425">
        <f t="shared" si="2"/>
        <v>91540</v>
      </c>
      <c r="Q84" s="425"/>
      <c r="R84" s="425">
        <f t="shared" si="3"/>
        <v>91540</v>
      </c>
      <c r="S84" s="425"/>
      <c r="T84" s="425">
        <f t="shared" si="4"/>
        <v>91540</v>
      </c>
      <c r="U84" s="425"/>
      <c r="V84" s="425">
        <f t="shared" si="5"/>
        <v>91540</v>
      </c>
      <c r="W84" s="425"/>
      <c r="X84" s="425">
        <f t="shared" si="6"/>
        <v>91540</v>
      </c>
      <c r="Y84" s="425"/>
    </row>
    <row r="85" spans="1:25" ht="21.95" customHeight="1" x14ac:dyDescent="0.25">
      <c r="A85" s="41"/>
      <c r="B85" s="41"/>
      <c r="C85" s="150" t="str">
        <f t="shared" si="0"/>
        <v>NY_JEFFERSON</v>
      </c>
      <c r="D85" s="147" t="s">
        <v>55</v>
      </c>
      <c r="E85" s="408" t="s">
        <v>233</v>
      </c>
      <c r="F85" s="408"/>
      <c r="G85" s="408"/>
      <c r="H85" s="424" t="s">
        <v>2348</v>
      </c>
      <c r="I85" s="424"/>
      <c r="J85" s="260">
        <v>79600</v>
      </c>
      <c r="K85" s="261"/>
      <c r="L85" s="425">
        <f t="shared" si="1"/>
        <v>79600</v>
      </c>
      <c r="M85" s="425"/>
      <c r="N85" s="260">
        <v>91540</v>
      </c>
      <c r="O85" s="261"/>
      <c r="P85" s="425">
        <f t="shared" si="2"/>
        <v>91540</v>
      </c>
      <c r="Q85" s="425"/>
      <c r="R85" s="425">
        <f t="shared" si="3"/>
        <v>91540</v>
      </c>
      <c r="S85" s="425"/>
      <c r="T85" s="425">
        <f t="shared" si="4"/>
        <v>91540</v>
      </c>
      <c r="U85" s="425"/>
      <c r="V85" s="425">
        <f t="shared" si="5"/>
        <v>91540</v>
      </c>
      <c r="W85" s="425"/>
      <c r="X85" s="425">
        <f t="shared" si="6"/>
        <v>91540</v>
      </c>
      <c r="Y85" s="425"/>
    </row>
    <row r="86" spans="1:25" ht="21.95" customHeight="1" x14ac:dyDescent="0.25">
      <c r="A86" s="41"/>
      <c r="B86" s="41"/>
      <c r="C86" s="150" t="str">
        <f t="shared" si="0"/>
        <v>NY_KINGS</v>
      </c>
      <c r="D86" s="147" t="s">
        <v>55</v>
      </c>
      <c r="E86" s="408" t="s">
        <v>376</v>
      </c>
      <c r="F86" s="408"/>
      <c r="G86" s="408"/>
      <c r="H86" s="424" t="s">
        <v>2348</v>
      </c>
      <c r="I86" s="424"/>
      <c r="J86" s="260">
        <v>128064</v>
      </c>
      <c r="K86" s="261"/>
      <c r="L86" s="425">
        <f t="shared" si="1"/>
        <v>128064</v>
      </c>
      <c r="M86" s="425"/>
      <c r="N86" s="260">
        <v>149408</v>
      </c>
      <c r="O86" s="261"/>
      <c r="P86" s="425">
        <f t="shared" si="2"/>
        <v>149408</v>
      </c>
      <c r="Q86" s="425"/>
      <c r="R86" s="425">
        <f t="shared" si="3"/>
        <v>149408</v>
      </c>
      <c r="S86" s="425"/>
      <c r="T86" s="425">
        <f t="shared" si="4"/>
        <v>149408</v>
      </c>
      <c r="U86" s="425"/>
      <c r="V86" s="425">
        <f t="shared" si="5"/>
        <v>149408</v>
      </c>
      <c r="W86" s="425"/>
      <c r="X86" s="425">
        <f t="shared" si="6"/>
        <v>149408</v>
      </c>
      <c r="Y86" s="425"/>
    </row>
    <row r="87" spans="1:25" ht="21.95" customHeight="1" x14ac:dyDescent="0.25">
      <c r="A87" s="41"/>
      <c r="B87" s="41"/>
      <c r="C87" s="150" t="str">
        <f t="shared" si="0"/>
        <v>NY_LEWIS</v>
      </c>
      <c r="D87" s="147" t="s">
        <v>55</v>
      </c>
      <c r="E87" s="408" t="s">
        <v>668</v>
      </c>
      <c r="F87" s="408"/>
      <c r="G87" s="408"/>
      <c r="H87" s="424" t="s">
        <v>2348</v>
      </c>
      <c r="I87" s="424"/>
      <c r="J87" s="260">
        <v>79600</v>
      </c>
      <c r="K87" s="261"/>
      <c r="L87" s="425">
        <f t="shared" si="1"/>
        <v>79600</v>
      </c>
      <c r="M87" s="425"/>
      <c r="N87" s="260">
        <v>91540</v>
      </c>
      <c r="O87" s="261"/>
      <c r="P87" s="425">
        <f t="shared" si="2"/>
        <v>91540</v>
      </c>
      <c r="Q87" s="425"/>
      <c r="R87" s="425">
        <f t="shared" si="3"/>
        <v>91540</v>
      </c>
      <c r="S87" s="425"/>
      <c r="T87" s="425">
        <f t="shared" si="4"/>
        <v>91540</v>
      </c>
      <c r="U87" s="425"/>
      <c r="V87" s="425">
        <f t="shared" si="5"/>
        <v>91540</v>
      </c>
      <c r="W87" s="425"/>
      <c r="X87" s="425">
        <f t="shared" si="6"/>
        <v>91540</v>
      </c>
      <c r="Y87" s="425"/>
    </row>
    <row r="88" spans="1:25" ht="21.95" customHeight="1" x14ac:dyDescent="0.25">
      <c r="A88" s="41"/>
      <c r="B88" s="41"/>
      <c r="C88" s="150" t="str">
        <f t="shared" si="0"/>
        <v>NY_LIVINGSTON</v>
      </c>
      <c r="D88" s="147" t="s">
        <v>55</v>
      </c>
      <c r="E88" s="408" t="s">
        <v>706</v>
      </c>
      <c r="F88" s="408"/>
      <c r="G88" s="408"/>
      <c r="H88" s="424" t="s">
        <v>2348</v>
      </c>
      <c r="I88" s="424"/>
      <c r="J88" s="260">
        <v>79600</v>
      </c>
      <c r="K88" s="261"/>
      <c r="L88" s="425">
        <f t="shared" si="1"/>
        <v>79600</v>
      </c>
      <c r="M88" s="425"/>
      <c r="N88" s="260">
        <v>91540</v>
      </c>
      <c r="O88" s="261"/>
      <c r="P88" s="425">
        <f t="shared" si="2"/>
        <v>91540</v>
      </c>
      <c r="Q88" s="425"/>
      <c r="R88" s="425">
        <f t="shared" si="3"/>
        <v>91540</v>
      </c>
      <c r="S88" s="425"/>
      <c r="T88" s="425">
        <f t="shared" si="4"/>
        <v>91540</v>
      </c>
      <c r="U88" s="425"/>
      <c r="V88" s="425">
        <f t="shared" si="5"/>
        <v>91540</v>
      </c>
      <c r="W88" s="425"/>
      <c r="X88" s="425">
        <f t="shared" si="6"/>
        <v>91540</v>
      </c>
      <c r="Y88" s="425"/>
    </row>
    <row r="89" spans="1:25" ht="21.95" customHeight="1" x14ac:dyDescent="0.25">
      <c r="A89" s="41"/>
      <c r="B89" s="41"/>
      <c r="C89" s="150" t="str">
        <f t="shared" si="0"/>
        <v>NY_MADISON</v>
      </c>
      <c r="D89" s="147" t="s">
        <v>55</v>
      </c>
      <c r="E89" s="408" t="s">
        <v>241</v>
      </c>
      <c r="F89" s="408"/>
      <c r="G89" s="408"/>
      <c r="H89" s="424" t="s">
        <v>2348</v>
      </c>
      <c r="I89" s="424"/>
      <c r="J89" s="260">
        <v>79600</v>
      </c>
      <c r="K89" s="261"/>
      <c r="L89" s="425">
        <f t="shared" si="1"/>
        <v>79600</v>
      </c>
      <c r="M89" s="425"/>
      <c r="N89" s="260">
        <v>91540</v>
      </c>
      <c r="O89" s="261"/>
      <c r="P89" s="425">
        <f t="shared" si="2"/>
        <v>91540</v>
      </c>
      <c r="Q89" s="425"/>
      <c r="R89" s="425">
        <f t="shared" si="3"/>
        <v>91540</v>
      </c>
      <c r="S89" s="425"/>
      <c r="T89" s="425">
        <f t="shared" si="4"/>
        <v>91540</v>
      </c>
      <c r="U89" s="425"/>
      <c r="V89" s="425">
        <f t="shared" si="5"/>
        <v>91540</v>
      </c>
      <c r="W89" s="425"/>
      <c r="X89" s="425">
        <f t="shared" si="6"/>
        <v>91540</v>
      </c>
      <c r="Y89" s="425"/>
    </row>
    <row r="90" spans="1:25" ht="21.95" customHeight="1" x14ac:dyDescent="0.25">
      <c r="A90" s="41"/>
      <c r="B90" s="41"/>
      <c r="C90" s="150" t="str">
        <f t="shared" si="0"/>
        <v>NY_MONROE</v>
      </c>
      <c r="D90" s="147" t="s">
        <v>55</v>
      </c>
      <c r="E90" s="408" t="s">
        <v>246</v>
      </c>
      <c r="F90" s="408"/>
      <c r="G90" s="408"/>
      <c r="H90" s="424" t="s">
        <v>2348</v>
      </c>
      <c r="I90" s="424"/>
      <c r="J90" s="260">
        <v>79600</v>
      </c>
      <c r="K90" s="261"/>
      <c r="L90" s="425">
        <f t="shared" si="1"/>
        <v>79600</v>
      </c>
      <c r="M90" s="425"/>
      <c r="N90" s="260">
        <v>91540</v>
      </c>
      <c r="O90" s="261"/>
      <c r="P90" s="425">
        <f t="shared" si="2"/>
        <v>91540</v>
      </c>
      <c r="Q90" s="425"/>
      <c r="R90" s="425">
        <f t="shared" si="3"/>
        <v>91540</v>
      </c>
      <c r="S90" s="425"/>
      <c r="T90" s="425">
        <f t="shared" si="4"/>
        <v>91540</v>
      </c>
      <c r="U90" s="425"/>
      <c r="V90" s="425">
        <f t="shared" si="5"/>
        <v>91540</v>
      </c>
      <c r="W90" s="425"/>
      <c r="X90" s="425">
        <f t="shared" si="6"/>
        <v>91540</v>
      </c>
      <c r="Y90" s="425"/>
    </row>
    <row r="91" spans="1:25" ht="21.95" customHeight="1" x14ac:dyDescent="0.25">
      <c r="A91" s="41"/>
      <c r="B91" s="41"/>
      <c r="C91" s="150" t="str">
        <f t="shared" si="0"/>
        <v>NY_MONTGOMERY</v>
      </c>
      <c r="D91" s="147" t="s">
        <v>55</v>
      </c>
      <c r="E91" s="408" t="s">
        <v>247</v>
      </c>
      <c r="F91" s="408"/>
      <c r="G91" s="408"/>
      <c r="H91" s="424" t="s">
        <v>2348</v>
      </c>
      <c r="I91" s="424"/>
      <c r="J91" s="260">
        <v>79600</v>
      </c>
      <c r="K91" s="261"/>
      <c r="L91" s="425">
        <f t="shared" si="1"/>
        <v>79600</v>
      </c>
      <c r="M91" s="425"/>
      <c r="N91" s="260">
        <v>91540</v>
      </c>
      <c r="O91" s="261"/>
      <c r="P91" s="425">
        <f t="shared" si="2"/>
        <v>91540</v>
      </c>
      <c r="Q91" s="425"/>
      <c r="R91" s="425">
        <f t="shared" si="3"/>
        <v>91540</v>
      </c>
      <c r="S91" s="425"/>
      <c r="T91" s="425">
        <f t="shared" si="4"/>
        <v>91540</v>
      </c>
      <c r="U91" s="425"/>
      <c r="V91" s="425">
        <f t="shared" si="5"/>
        <v>91540</v>
      </c>
      <c r="W91" s="425"/>
      <c r="X91" s="425">
        <f t="shared" si="6"/>
        <v>91540</v>
      </c>
      <c r="Y91" s="425"/>
    </row>
    <row r="92" spans="1:25" ht="21.95" customHeight="1" x14ac:dyDescent="0.25">
      <c r="A92" s="41"/>
      <c r="B92" s="41"/>
      <c r="C92" s="150" t="str">
        <f t="shared" si="0"/>
        <v>NY_NASSAU</v>
      </c>
      <c r="D92" s="147" t="s">
        <v>55</v>
      </c>
      <c r="E92" s="408" t="s">
        <v>515</v>
      </c>
      <c r="F92" s="408"/>
      <c r="G92" s="408"/>
      <c r="H92" s="424" t="s">
        <v>2348</v>
      </c>
      <c r="I92" s="424"/>
      <c r="J92" s="260">
        <v>139488</v>
      </c>
      <c r="K92" s="261"/>
      <c r="L92" s="425">
        <f t="shared" si="1"/>
        <v>139488</v>
      </c>
      <c r="M92" s="425"/>
      <c r="N92" s="260">
        <v>162736</v>
      </c>
      <c r="O92" s="261"/>
      <c r="P92" s="425">
        <f t="shared" si="2"/>
        <v>162736</v>
      </c>
      <c r="Q92" s="425"/>
      <c r="R92" s="425">
        <f t="shared" si="3"/>
        <v>162736</v>
      </c>
      <c r="S92" s="425"/>
      <c r="T92" s="425">
        <f t="shared" si="4"/>
        <v>162736</v>
      </c>
      <c r="U92" s="425"/>
      <c r="V92" s="425">
        <f t="shared" si="5"/>
        <v>162736</v>
      </c>
      <c r="W92" s="425"/>
      <c r="X92" s="425">
        <f t="shared" si="6"/>
        <v>162736</v>
      </c>
      <c r="Y92" s="425"/>
    </row>
    <row r="93" spans="1:25" ht="21.95" customHeight="1" x14ac:dyDescent="0.25">
      <c r="A93" s="41"/>
      <c r="B93" s="41"/>
      <c r="C93" s="150" t="str">
        <f t="shared" si="0"/>
        <v>NY_NEW YORK</v>
      </c>
      <c r="D93" s="147" t="s">
        <v>55</v>
      </c>
      <c r="E93" s="408" t="s">
        <v>1384</v>
      </c>
      <c r="F93" s="408"/>
      <c r="G93" s="408"/>
      <c r="H93" s="424" t="s">
        <v>2348</v>
      </c>
      <c r="I93" s="424"/>
      <c r="J93" s="260">
        <v>128064</v>
      </c>
      <c r="K93" s="261"/>
      <c r="L93" s="425">
        <f t="shared" si="1"/>
        <v>128064</v>
      </c>
      <c r="M93" s="425"/>
      <c r="N93" s="260">
        <v>149408</v>
      </c>
      <c r="O93" s="261"/>
      <c r="P93" s="425">
        <f t="shared" si="2"/>
        <v>149408</v>
      </c>
      <c r="Q93" s="425"/>
      <c r="R93" s="425">
        <f t="shared" si="3"/>
        <v>149408</v>
      </c>
      <c r="S93" s="425"/>
      <c r="T93" s="425">
        <f t="shared" si="4"/>
        <v>149408</v>
      </c>
      <c r="U93" s="425"/>
      <c r="V93" s="425">
        <f t="shared" si="5"/>
        <v>149408</v>
      </c>
      <c r="W93" s="425"/>
      <c r="X93" s="425">
        <f t="shared" si="6"/>
        <v>149408</v>
      </c>
      <c r="Y93" s="425"/>
    </row>
    <row r="94" spans="1:25" ht="21.95" customHeight="1" x14ac:dyDescent="0.25">
      <c r="A94" s="41"/>
      <c r="B94" s="41"/>
      <c r="C94" s="150" t="str">
        <f t="shared" si="0"/>
        <v>NY_NIAGARA</v>
      </c>
      <c r="D94" s="147" t="s">
        <v>55</v>
      </c>
      <c r="E94" s="408" t="s">
        <v>1385</v>
      </c>
      <c r="F94" s="408"/>
      <c r="G94" s="408"/>
      <c r="H94" s="424" t="s">
        <v>2348</v>
      </c>
      <c r="I94" s="424"/>
      <c r="J94" s="260">
        <v>79600</v>
      </c>
      <c r="K94" s="261"/>
      <c r="L94" s="425">
        <f t="shared" si="1"/>
        <v>79600</v>
      </c>
      <c r="M94" s="425"/>
      <c r="N94" s="260">
        <v>91540</v>
      </c>
      <c r="O94" s="261"/>
      <c r="P94" s="425">
        <f t="shared" si="2"/>
        <v>91540</v>
      </c>
      <c r="Q94" s="425"/>
      <c r="R94" s="425">
        <f t="shared" si="3"/>
        <v>91540</v>
      </c>
      <c r="S94" s="425"/>
      <c r="T94" s="425">
        <f t="shared" si="4"/>
        <v>91540</v>
      </c>
      <c r="U94" s="425"/>
      <c r="V94" s="425">
        <f t="shared" si="5"/>
        <v>91540</v>
      </c>
      <c r="W94" s="425"/>
      <c r="X94" s="425">
        <f t="shared" si="6"/>
        <v>91540</v>
      </c>
      <c r="Y94" s="425"/>
    </row>
    <row r="95" spans="1:25" ht="21.95" customHeight="1" x14ac:dyDescent="0.25">
      <c r="A95" s="41"/>
      <c r="B95" s="41"/>
      <c r="C95" s="150" t="str">
        <f t="shared" si="0"/>
        <v>NY_ONEIDA</v>
      </c>
      <c r="D95" s="147" t="s">
        <v>55</v>
      </c>
      <c r="E95" s="408" t="s">
        <v>671</v>
      </c>
      <c r="F95" s="408"/>
      <c r="G95" s="408"/>
      <c r="H95" s="424" t="s">
        <v>2348</v>
      </c>
      <c r="I95" s="424"/>
      <c r="J95" s="260">
        <v>79600</v>
      </c>
      <c r="K95" s="261"/>
      <c r="L95" s="425">
        <f t="shared" si="1"/>
        <v>79600</v>
      </c>
      <c r="M95" s="425"/>
      <c r="N95" s="260">
        <v>91540</v>
      </c>
      <c r="O95" s="261"/>
      <c r="P95" s="425">
        <f t="shared" si="2"/>
        <v>91540</v>
      </c>
      <c r="Q95" s="425"/>
      <c r="R95" s="425">
        <f t="shared" si="3"/>
        <v>91540</v>
      </c>
      <c r="S95" s="425"/>
      <c r="T95" s="425">
        <f t="shared" si="4"/>
        <v>91540</v>
      </c>
      <c r="U95" s="425"/>
      <c r="V95" s="425">
        <f t="shared" si="5"/>
        <v>91540</v>
      </c>
      <c r="W95" s="425"/>
      <c r="X95" s="425">
        <f t="shared" si="6"/>
        <v>91540</v>
      </c>
      <c r="Y95" s="425"/>
    </row>
    <row r="96" spans="1:25" ht="21.95" customHeight="1" x14ac:dyDescent="0.25">
      <c r="A96" s="41"/>
      <c r="B96" s="41"/>
      <c r="C96" s="150" t="str">
        <f t="shared" si="0"/>
        <v>NY_ONONDAGA</v>
      </c>
      <c r="D96" s="147" t="s">
        <v>55</v>
      </c>
      <c r="E96" s="408" t="s">
        <v>1386</v>
      </c>
      <c r="F96" s="408"/>
      <c r="G96" s="408"/>
      <c r="H96" s="424" t="s">
        <v>2348</v>
      </c>
      <c r="I96" s="424"/>
      <c r="J96" s="260">
        <v>79600</v>
      </c>
      <c r="K96" s="261"/>
      <c r="L96" s="425">
        <f t="shared" si="1"/>
        <v>79600</v>
      </c>
      <c r="M96" s="425"/>
      <c r="N96" s="260">
        <v>91540</v>
      </c>
      <c r="O96" s="261"/>
      <c r="P96" s="425">
        <f t="shared" si="2"/>
        <v>91540</v>
      </c>
      <c r="Q96" s="425"/>
      <c r="R96" s="425">
        <f t="shared" si="3"/>
        <v>91540</v>
      </c>
      <c r="S96" s="425"/>
      <c r="T96" s="425">
        <f t="shared" si="4"/>
        <v>91540</v>
      </c>
      <c r="U96" s="425"/>
      <c r="V96" s="425">
        <f t="shared" si="5"/>
        <v>91540</v>
      </c>
      <c r="W96" s="425"/>
      <c r="X96" s="425">
        <f t="shared" si="6"/>
        <v>91540</v>
      </c>
      <c r="Y96" s="425"/>
    </row>
    <row r="97" spans="1:25" ht="21.95" customHeight="1" x14ac:dyDescent="0.25">
      <c r="A97" s="41"/>
      <c r="B97" s="41"/>
      <c r="C97" s="150" t="str">
        <f t="shared" si="0"/>
        <v>NY_ONTARIO</v>
      </c>
      <c r="D97" s="147" t="s">
        <v>55</v>
      </c>
      <c r="E97" s="408" t="s">
        <v>1387</v>
      </c>
      <c r="F97" s="408"/>
      <c r="G97" s="408"/>
      <c r="H97" s="424" t="s">
        <v>2348</v>
      </c>
      <c r="I97" s="424"/>
      <c r="J97" s="260">
        <v>79600</v>
      </c>
      <c r="K97" s="261"/>
      <c r="L97" s="425">
        <f t="shared" si="1"/>
        <v>79600</v>
      </c>
      <c r="M97" s="425"/>
      <c r="N97" s="260">
        <v>91540</v>
      </c>
      <c r="O97" s="261"/>
      <c r="P97" s="425">
        <f t="shared" si="2"/>
        <v>91540</v>
      </c>
      <c r="Q97" s="425"/>
      <c r="R97" s="425">
        <f t="shared" si="3"/>
        <v>91540</v>
      </c>
      <c r="S97" s="425"/>
      <c r="T97" s="425">
        <f t="shared" si="4"/>
        <v>91540</v>
      </c>
      <c r="U97" s="425"/>
      <c r="V97" s="425">
        <f t="shared" si="5"/>
        <v>91540</v>
      </c>
      <c r="W97" s="425"/>
      <c r="X97" s="425">
        <f t="shared" si="6"/>
        <v>91540</v>
      </c>
      <c r="Y97" s="425"/>
    </row>
    <row r="98" spans="1:25" ht="21.95" customHeight="1" x14ac:dyDescent="0.25">
      <c r="A98" s="41"/>
      <c r="B98" s="41"/>
      <c r="C98" s="150" t="str">
        <f t="shared" si="0"/>
        <v>NY_ORANGE</v>
      </c>
      <c r="D98" s="147" t="s">
        <v>55</v>
      </c>
      <c r="E98" s="408" t="s">
        <v>389</v>
      </c>
      <c r="F98" s="408"/>
      <c r="G98" s="408"/>
      <c r="H98" s="424" t="s">
        <v>2348</v>
      </c>
      <c r="I98" s="424"/>
      <c r="J98" s="260">
        <v>89920</v>
      </c>
      <c r="K98" s="261"/>
      <c r="L98" s="425">
        <f t="shared" si="1"/>
        <v>89920</v>
      </c>
      <c r="M98" s="425"/>
      <c r="N98" s="260">
        <v>103408</v>
      </c>
      <c r="O98" s="261"/>
      <c r="P98" s="425">
        <f t="shared" si="2"/>
        <v>103408</v>
      </c>
      <c r="Q98" s="425"/>
      <c r="R98" s="425">
        <f t="shared" si="3"/>
        <v>103408</v>
      </c>
      <c r="S98" s="425"/>
      <c r="T98" s="425">
        <f t="shared" si="4"/>
        <v>103408</v>
      </c>
      <c r="U98" s="425"/>
      <c r="V98" s="425">
        <f t="shared" si="5"/>
        <v>103408</v>
      </c>
      <c r="W98" s="425"/>
      <c r="X98" s="425">
        <f t="shared" si="6"/>
        <v>103408</v>
      </c>
      <c r="Y98" s="425"/>
    </row>
    <row r="99" spans="1:25" ht="21.95" customHeight="1" x14ac:dyDescent="0.25">
      <c r="A99" s="41"/>
      <c r="B99" s="41"/>
      <c r="C99" s="150" t="str">
        <f t="shared" si="0"/>
        <v>NY_ORLEANS</v>
      </c>
      <c r="D99" s="147" t="s">
        <v>55</v>
      </c>
      <c r="E99" s="408" t="s">
        <v>1388</v>
      </c>
      <c r="F99" s="408"/>
      <c r="G99" s="408"/>
      <c r="H99" s="424" t="s">
        <v>2348</v>
      </c>
      <c r="I99" s="424"/>
      <c r="J99" s="260">
        <v>79600</v>
      </c>
      <c r="K99" s="261"/>
      <c r="L99" s="425">
        <f t="shared" si="1"/>
        <v>79600</v>
      </c>
      <c r="M99" s="425"/>
      <c r="N99" s="260">
        <v>91540</v>
      </c>
      <c r="O99" s="261"/>
      <c r="P99" s="425">
        <f t="shared" si="2"/>
        <v>91540</v>
      </c>
      <c r="Q99" s="425"/>
      <c r="R99" s="425">
        <f t="shared" si="3"/>
        <v>91540</v>
      </c>
      <c r="S99" s="425"/>
      <c r="T99" s="425">
        <f t="shared" si="4"/>
        <v>91540</v>
      </c>
      <c r="U99" s="425"/>
      <c r="V99" s="425">
        <f t="shared" si="5"/>
        <v>91540</v>
      </c>
      <c r="W99" s="425"/>
      <c r="X99" s="425">
        <f t="shared" si="6"/>
        <v>91540</v>
      </c>
      <c r="Y99" s="425"/>
    </row>
    <row r="100" spans="1:25" ht="21.95" customHeight="1" x14ac:dyDescent="0.25">
      <c r="A100" s="41"/>
      <c r="B100" s="41"/>
      <c r="C100" s="150" t="str">
        <f t="shared" si="0"/>
        <v>NY_OSWEGO</v>
      </c>
      <c r="D100" s="147" t="s">
        <v>55</v>
      </c>
      <c r="E100" s="408" t="s">
        <v>1389</v>
      </c>
      <c r="F100" s="408"/>
      <c r="G100" s="408"/>
      <c r="H100" s="424" t="s">
        <v>2348</v>
      </c>
      <c r="I100" s="424"/>
      <c r="J100" s="260">
        <v>79600</v>
      </c>
      <c r="K100" s="261"/>
      <c r="L100" s="425">
        <f t="shared" si="1"/>
        <v>79600</v>
      </c>
      <c r="M100" s="425"/>
      <c r="N100" s="260">
        <v>91540</v>
      </c>
      <c r="O100" s="261"/>
      <c r="P100" s="425">
        <f t="shared" si="2"/>
        <v>91540</v>
      </c>
      <c r="Q100" s="425"/>
      <c r="R100" s="425">
        <f t="shared" si="3"/>
        <v>91540</v>
      </c>
      <c r="S100" s="425"/>
      <c r="T100" s="425">
        <f t="shared" si="4"/>
        <v>91540</v>
      </c>
      <c r="U100" s="425"/>
      <c r="V100" s="425">
        <f t="shared" si="5"/>
        <v>91540</v>
      </c>
      <c r="W100" s="425"/>
      <c r="X100" s="425">
        <f t="shared" si="6"/>
        <v>91540</v>
      </c>
      <c r="Y100" s="425"/>
    </row>
    <row r="101" spans="1:25" ht="21.95" customHeight="1" x14ac:dyDescent="0.25">
      <c r="A101" s="41"/>
      <c r="B101" s="41"/>
      <c r="C101" s="150" t="str">
        <f t="shared" si="0"/>
        <v>NY_OTSEGO</v>
      </c>
      <c r="D101" s="147" t="s">
        <v>55</v>
      </c>
      <c r="E101" s="408" t="s">
        <v>1094</v>
      </c>
      <c r="F101" s="408"/>
      <c r="G101" s="408"/>
      <c r="H101" s="424" t="s">
        <v>2348</v>
      </c>
      <c r="I101" s="424"/>
      <c r="J101" s="260">
        <v>79600</v>
      </c>
      <c r="K101" s="261"/>
      <c r="L101" s="425">
        <f t="shared" si="1"/>
        <v>79600</v>
      </c>
      <c r="M101" s="425"/>
      <c r="N101" s="260">
        <v>91540</v>
      </c>
      <c r="O101" s="261"/>
      <c r="P101" s="425">
        <f t="shared" si="2"/>
        <v>91540</v>
      </c>
      <c r="Q101" s="425"/>
      <c r="R101" s="425">
        <f t="shared" si="3"/>
        <v>91540</v>
      </c>
      <c r="S101" s="425"/>
      <c r="T101" s="425">
        <f t="shared" si="4"/>
        <v>91540</v>
      </c>
      <c r="U101" s="425"/>
      <c r="V101" s="425">
        <f t="shared" si="5"/>
        <v>91540</v>
      </c>
      <c r="W101" s="425"/>
      <c r="X101" s="425">
        <f t="shared" si="6"/>
        <v>91540</v>
      </c>
      <c r="Y101" s="425"/>
    </row>
    <row r="102" spans="1:25" ht="21.95" customHeight="1" x14ac:dyDescent="0.25">
      <c r="A102" s="41"/>
      <c r="B102" s="41"/>
      <c r="C102" s="150" t="str">
        <f t="shared" si="0"/>
        <v>NY_PUTNAM</v>
      </c>
      <c r="D102" s="147" t="s">
        <v>55</v>
      </c>
      <c r="E102" s="408" t="s">
        <v>522</v>
      </c>
      <c r="F102" s="408"/>
      <c r="G102" s="408"/>
      <c r="H102" s="424" t="s">
        <v>2348</v>
      </c>
      <c r="I102" s="424"/>
      <c r="J102" s="260">
        <v>128064</v>
      </c>
      <c r="K102" s="261"/>
      <c r="L102" s="425">
        <f t="shared" si="1"/>
        <v>128064</v>
      </c>
      <c r="M102" s="425"/>
      <c r="N102" s="260">
        <v>149408</v>
      </c>
      <c r="O102" s="261"/>
      <c r="P102" s="425">
        <f t="shared" si="2"/>
        <v>149408</v>
      </c>
      <c r="Q102" s="425"/>
      <c r="R102" s="425">
        <f t="shared" si="3"/>
        <v>149408</v>
      </c>
      <c r="S102" s="425"/>
      <c r="T102" s="425">
        <f t="shared" si="4"/>
        <v>149408</v>
      </c>
      <c r="U102" s="425"/>
      <c r="V102" s="425">
        <f t="shared" si="5"/>
        <v>149408</v>
      </c>
      <c r="W102" s="425"/>
      <c r="X102" s="425">
        <f t="shared" si="6"/>
        <v>149408</v>
      </c>
      <c r="Y102" s="425"/>
    </row>
    <row r="103" spans="1:25" ht="21.95" customHeight="1" x14ac:dyDescent="0.25">
      <c r="A103" s="41"/>
      <c r="B103" s="41"/>
      <c r="C103" s="150" t="str">
        <f t="shared" si="0"/>
        <v>NY_QUEENS</v>
      </c>
      <c r="D103" s="147" t="s">
        <v>55</v>
      </c>
      <c r="E103" s="408" t="s">
        <v>1390</v>
      </c>
      <c r="F103" s="408"/>
      <c r="G103" s="408"/>
      <c r="H103" s="424" t="s">
        <v>2348</v>
      </c>
      <c r="I103" s="424"/>
      <c r="J103" s="260">
        <v>128064</v>
      </c>
      <c r="K103" s="261"/>
      <c r="L103" s="425">
        <f t="shared" si="1"/>
        <v>128064</v>
      </c>
      <c r="M103" s="425"/>
      <c r="N103" s="260">
        <v>149408</v>
      </c>
      <c r="O103" s="261"/>
      <c r="P103" s="425">
        <f t="shared" si="2"/>
        <v>149408</v>
      </c>
      <c r="Q103" s="425"/>
      <c r="R103" s="425">
        <f t="shared" si="3"/>
        <v>149408</v>
      </c>
      <c r="S103" s="425"/>
      <c r="T103" s="425">
        <f t="shared" si="4"/>
        <v>149408</v>
      </c>
      <c r="U103" s="425"/>
      <c r="V103" s="425">
        <f t="shared" si="5"/>
        <v>149408</v>
      </c>
      <c r="W103" s="425"/>
      <c r="X103" s="425">
        <f t="shared" si="6"/>
        <v>149408</v>
      </c>
      <c r="Y103" s="425"/>
    </row>
    <row r="104" spans="1:25" ht="21.95" customHeight="1" x14ac:dyDescent="0.25">
      <c r="A104" s="41"/>
      <c r="B104" s="41"/>
      <c r="C104" s="150" t="str">
        <f t="shared" si="0"/>
        <v>NY_RENSSELAER</v>
      </c>
      <c r="D104" s="147" t="s">
        <v>55</v>
      </c>
      <c r="E104" s="408" t="s">
        <v>1391</v>
      </c>
      <c r="F104" s="408"/>
      <c r="G104" s="408"/>
      <c r="H104" s="424" t="s">
        <v>2348</v>
      </c>
      <c r="I104" s="424"/>
      <c r="J104" s="260">
        <v>84800</v>
      </c>
      <c r="K104" s="261"/>
      <c r="L104" s="425">
        <f t="shared" si="1"/>
        <v>84800</v>
      </c>
      <c r="M104" s="425"/>
      <c r="N104" s="260">
        <v>97520</v>
      </c>
      <c r="O104" s="261"/>
      <c r="P104" s="425">
        <f t="shared" si="2"/>
        <v>97520</v>
      </c>
      <c r="Q104" s="425"/>
      <c r="R104" s="425">
        <f t="shared" si="3"/>
        <v>97520</v>
      </c>
      <c r="S104" s="425"/>
      <c r="T104" s="425">
        <f t="shared" si="4"/>
        <v>97520</v>
      </c>
      <c r="U104" s="425"/>
      <c r="V104" s="425">
        <f t="shared" si="5"/>
        <v>97520</v>
      </c>
      <c r="W104" s="425"/>
      <c r="X104" s="425">
        <f t="shared" si="6"/>
        <v>97520</v>
      </c>
      <c r="Y104" s="425"/>
    </row>
    <row r="105" spans="1:25" ht="21.95" customHeight="1" x14ac:dyDescent="0.25">
      <c r="A105" s="41"/>
      <c r="B105" s="41"/>
      <c r="C105" s="150" t="str">
        <f t="shared" si="0"/>
        <v>NY_RICHMOND</v>
      </c>
      <c r="D105" s="147" t="s">
        <v>55</v>
      </c>
      <c r="E105" s="408" t="s">
        <v>611</v>
      </c>
      <c r="F105" s="408"/>
      <c r="G105" s="408"/>
      <c r="H105" s="424" t="s">
        <v>2348</v>
      </c>
      <c r="I105" s="424"/>
      <c r="J105" s="260">
        <v>128064</v>
      </c>
      <c r="K105" s="261"/>
      <c r="L105" s="425">
        <f t="shared" si="1"/>
        <v>128064</v>
      </c>
      <c r="M105" s="425"/>
      <c r="N105" s="260">
        <v>149408</v>
      </c>
      <c r="O105" s="261"/>
      <c r="P105" s="425">
        <f t="shared" si="2"/>
        <v>149408</v>
      </c>
      <c r="Q105" s="425"/>
      <c r="R105" s="425">
        <f t="shared" si="3"/>
        <v>149408</v>
      </c>
      <c r="S105" s="425"/>
      <c r="T105" s="425">
        <f t="shared" si="4"/>
        <v>149408</v>
      </c>
      <c r="U105" s="425"/>
      <c r="V105" s="425">
        <f t="shared" si="5"/>
        <v>149408</v>
      </c>
      <c r="W105" s="425"/>
      <c r="X105" s="425">
        <f t="shared" si="6"/>
        <v>149408</v>
      </c>
      <c r="Y105" s="425"/>
    </row>
    <row r="106" spans="1:25" ht="21.95" customHeight="1" x14ac:dyDescent="0.25">
      <c r="A106" s="41"/>
      <c r="B106" s="41"/>
      <c r="C106" s="150" t="str">
        <f t="shared" si="0"/>
        <v>NY_ROCKLAND</v>
      </c>
      <c r="D106" s="147" t="s">
        <v>55</v>
      </c>
      <c r="E106" s="408" t="s">
        <v>1392</v>
      </c>
      <c r="F106" s="408"/>
      <c r="G106" s="408"/>
      <c r="H106" s="424" t="s">
        <v>2348</v>
      </c>
      <c r="I106" s="424"/>
      <c r="J106" s="260">
        <v>128064</v>
      </c>
      <c r="K106" s="261"/>
      <c r="L106" s="425">
        <f t="shared" si="1"/>
        <v>128064</v>
      </c>
      <c r="M106" s="425"/>
      <c r="N106" s="260">
        <v>149408</v>
      </c>
      <c r="O106" s="261"/>
      <c r="P106" s="425">
        <f t="shared" si="2"/>
        <v>149408</v>
      </c>
      <c r="Q106" s="425"/>
      <c r="R106" s="425">
        <f t="shared" si="3"/>
        <v>149408</v>
      </c>
      <c r="S106" s="425"/>
      <c r="T106" s="425">
        <f t="shared" si="4"/>
        <v>149408</v>
      </c>
      <c r="U106" s="425"/>
      <c r="V106" s="425">
        <f t="shared" si="5"/>
        <v>149408</v>
      </c>
      <c r="W106" s="425"/>
      <c r="X106" s="425">
        <f t="shared" si="6"/>
        <v>149408</v>
      </c>
      <c r="Y106" s="425"/>
    </row>
    <row r="107" spans="1:25" ht="21.95" customHeight="1" x14ac:dyDescent="0.25">
      <c r="A107" s="41"/>
      <c r="B107" s="41"/>
      <c r="C107" s="150" t="str">
        <f t="shared" ref="C107:C170" si="7">TRIM(UPPER(D107))&amp;"_"&amp;TRIM(UPPER(E107))</f>
        <v>NY_SARATOGA</v>
      </c>
      <c r="D107" s="147" t="s">
        <v>55</v>
      </c>
      <c r="E107" s="408" t="s">
        <v>1394</v>
      </c>
      <c r="F107" s="408"/>
      <c r="G107" s="408"/>
      <c r="H107" s="424" t="s">
        <v>2348</v>
      </c>
      <c r="I107" s="424"/>
      <c r="J107" s="260">
        <v>84800</v>
      </c>
      <c r="K107" s="261"/>
      <c r="L107" s="425">
        <f t="shared" ref="L107:L170" si="8">J107</f>
        <v>84800</v>
      </c>
      <c r="M107" s="425"/>
      <c r="N107" s="260">
        <v>97520</v>
      </c>
      <c r="O107" s="261"/>
      <c r="P107" s="425">
        <f t="shared" ref="P107:P170" si="9">N107</f>
        <v>97520</v>
      </c>
      <c r="Q107" s="425"/>
      <c r="R107" s="425">
        <f t="shared" ref="R107:R170" si="10">P107</f>
        <v>97520</v>
      </c>
      <c r="S107" s="425"/>
      <c r="T107" s="425">
        <f t="shared" ref="T107:T170" si="11">R107</f>
        <v>97520</v>
      </c>
      <c r="U107" s="425"/>
      <c r="V107" s="425">
        <f t="shared" ref="V107:V170" si="12">T107</f>
        <v>97520</v>
      </c>
      <c r="W107" s="425"/>
      <c r="X107" s="425">
        <f t="shared" ref="X107:X170" si="13">V107</f>
        <v>97520</v>
      </c>
      <c r="Y107" s="425"/>
    </row>
    <row r="108" spans="1:25" ht="21.95" customHeight="1" x14ac:dyDescent="0.25">
      <c r="A108" s="41"/>
      <c r="B108" s="41"/>
      <c r="C108" s="150" t="str">
        <f t="shared" si="7"/>
        <v>NY_SCHENECTADY</v>
      </c>
      <c r="D108" s="147" t="s">
        <v>55</v>
      </c>
      <c r="E108" s="408" t="s">
        <v>1395</v>
      </c>
      <c r="F108" s="408"/>
      <c r="G108" s="408"/>
      <c r="H108" s="424" t="s">
        <v>2348</v>
      </c>
      <c r="I108" s="424"/>
      <c r="J108" s="260">
        <v>84800</v>
      </c>
      <c r="K108" s="261"/>
      <c r="L108" s="425">
        <f t="shared" si="8"/>
        <v>84800</v>
      </c>
      <c r="M108" s="425"/>
      <c r="N108" s="260">
        <v>97520</v>
      </c>
      <c r="O108" s="261"/>
      <c r="P108" s="425">
        <f t="shared" si="9"/>
        <v>97520</v>
      </c>
      <c r="Q108" s="425"/>
      <c r="R108" s="425">
        <f t="shared" si="10"/>
        <v>97520</v>
      </c>
      <c r="S108" s="425"/>
      <c r="T108" s="425">
        <f t="shared" si="11"/>
        <v>97520</v>
      </c>
      <c r="U108" s="425"/>
      <c r="V108" s="425">
        <f t="shared" si="12"/>
        <v>97520</v>
      </c>
      <c r="W108" s="425"/>
      <c r="X108" s="425">
        <f t="shared" si="13"/>
        <v>97520</v>
      </c>
      <c r="Y108" s="425"/>
    </row>
    <row r="109" spans="1:25" ht="21.95" customHeight="1" x14ac:dyDescent="0.25">
      <c r="A109" s="41"/>
      <c r="B109" s="41"/>
      <c r="C109" s="150" t="str">
        <f t="shared" si="7"/>
        <v>NY_SCHOHARIE</v>
      </c>
      <c r="D109" s="147" t="s">
        <v>55</v>
      </c>
      <c r="E109" s="408" t="s">
        <v>1396</v>
      </c>
      <c r="F109" s="408"/>
      <c r="G109" s="408"/>
      <c r="H109" s="424" t="s">
        <v>2348</v>
      </c>
      <c r="I109" s="424"/>
      <c r="J109" s="260">
        <v>84800</v>
      </c>
      <c r="K109" s="261"/>
      <c r="L109" s="425">
        <f t="shared" si="8"/>
        <v>84800</v>
      </c>
      <c r="M109" s="425"/>
      <c r="N109" s="260">
        <v>97520</v>
      </c>
      <c r="O109" s="261"/>
      <c r="P109" s="425">
        <f t="shared" si="9"/>
        <v>97520</v>
      </c>
      <c r="Q109" s="425"/>
      <c r="R109" s="425">
        <f t="shared" si="10"/>
        <v>97520</v>
      </c>
      <c r="S109" s="425"/>
      <c r="T109" s="425">
        <f t="shared" si="11"/>
        <v>97520</v>
      </c>
      <c r="U109" s="425"/>
      <c r="V109" s="425">
        <f t="shared" si="12"/>
        <v>97520</v>
      </c>
      <c r="W109" s="425"/>
      <c r="X109" s="425">
        <f t="shared" si="13"/>
        <v>97520</v>
      </c>
      <c r="Y109" s="425"/>
    </row>
    <row r="110" spans="1:25" ht="21.95" customHeight="1" x14ac:dyDescent="0.25">
      <c r="A110" s="41"/>
      <c r="B110" s="41"/>
      <c r="C110" s="150" t="str">
        <f t="shared" si="7"/>
        <v>NY_SCHUYLER</v>
      </c>
      <c r="D110" s="147" t="s">
        <v>55</v>
      </c>
      <c r="E110" s="408" t="s">
        <v>722</v>
      </c>
      <c r="F110" s="408"/>
      <c r="G110" s="408"/>
      <c r="H110" s="424" t="s">
        <v>2348</v>
      </c>
      <c r="I110" s="424"/>
      <c r="J110" s="260">
        <v>79600</v>
      </c>
      <c r="K110" s="261"/>
      <c r="L110" s="425">
        <f t="shared" si="8"/>
        <v>79600</v>
      </c>
      <c r="M110" s="425"/>
      <c r="N110" s="260">
        <v>91540</v>
      </c>
      <c r="O110" s="261"/>
      <c r="P110" s="425">
        <f t="shared" si="9"/>
        <v>91540</v>
      </c>
      <c r="Q110" s="425"/>
      <c r="R110" s="425">
        <f t="shared" si="10"/>
        <v>91540</v>
      </c>
      <c r="S110" s="425"/>
      <c r="T110" s="425">
        <f t="shared" si="11"/>
        <v>91540</v>
      </c>
      <c r="U110" s="425"/>
      <c r="V110" s="425">
        <f t="shared" si="12"/>
        <v>91540</v>
      </c>
      <c r="W110" s="425"/>
      <c r="X110" s="425">
        <f t="shared" si="13"/>
        <v>91540</v>
      </c>
      <c r="Y110" s="425"/>
    </row>
    <row r="111" spans="1:25" ht="21.95" customHeight="1" x14ac:dyDescent="0.25">
      <c r="A111" s="41"/>
      <c r="B111" s="41"/>
      <c r="C111" s="150" t="str">
        <f t="shared" si="7"/>
        <v>NY_SENECA</v>
      </c>
      <c r="D111" s="147" t="s">
        <v>55</v>
      </c>
      <c r="E111" s="408" t="s">
        <v>1397</v>
      </c>
      <c r="F111" s="408"/>
      <c r="G111" s="408"/>
      <c r="H111" s="424" t="s">
        <v>2348</v>
      </c>
      <c r="I111" s="424"/>
      <c r="J111" s="260">
        <v>79600</v>
      </c>
      <c r="K111" s="261"/>
      <c r="L111" s="425">
        <f t="shared" si="8"/>
        <v>79600</v>
      </c>
      <c r="M111" s="425"/>
      <c r="N111" s="260">
        <v>91540</v>
      </c>
      <c r="O111" s="261"/>
      <c r="P111" s="425">
        <f t="shared" si="9"/>
        <v>91540</v>
      </c>
      <c r="Q111" s="425"/>
      <c r="R111" s="425">
        <f t="shared" si="10"/>
        <v>91540</v>
      </c>
      <c r="S111" s="425"/>
      <c r="T111" s="425">
        <f t="shared" si="11"/>
        <v>91540</v>
      </c>
      <c r="U111" s="425"/>
      <c r="V111" s="425">
        <f t="shared" si="12"/>
        <v>91540</v>
      </c>
      <c r="W111" s="425"/>
      <c r="X111" s="425">
        <f t="shared" si="13"/>
        <v>91540</v>
      </c>
      <c r="Y111" s="425"/>
    </row>
    <row r="112" spans="1:25" ht="21.95" customHeight="1" x14ac:dyDescent="0.25">
      <c r="A112" s="41"/>
      <c r="B112" s="41"/>
      <c r="C112" s="150" t="str">
        <f t="shared" si="7"/>
        <v>NY_ST. LAWRENCE</v>
      </c>
      <c r="D112" s="147" t="s">
        <v>55</v>
      </c>
      <c r="E112" s="408" t="s">
        <v>1393</v>
      </c>
      <c r="F112" s="408"/>
      <c r="G112" s="408"/>
      <c r="H112" s="424" t="s">
        <v>2348</v>
      </c>
      <c r="I112" s="424"/>
      <c r="J112" s="260">
        <v>79600</v>
      </c>
      <c r="K112" s="261"/>
      <c r="L112" s="425">
        <f t="shared" si="8"/>
        <v>79600</v>
      </c>
      <c r="M112" s="425"/>
      <c r="N112" s="260">
        <v>91540</v>
      </c>
      <c r="O112" s="261"/>
      <c r="P112" s="425">
        <f t="shared" si="9"/>
        <v>91540</v>
      </c>
      <c r="Q112" s="425"/>
      <c r="R112" s="425">
        <f t="shared" si="10"/>
        <v>91540</v>
      </c>
      <c r="S112" s="425"/>
      <c r="T112" s="425">
        <f t="shared" si="11"/>
        <v>91540</v>
      </c>
      <c r="U112" s="425"/>
      <c r="V112" s="425">
        <f t="shared" si="12"/>
        <v>91540</v>
      </c>
      <c r="W112" s="425"/>
      <c r="X112" s="425">
        <f t="shared" si="13"/>
        <v>91540</v>
      </c>
      <c r="Y112" s="425"/>
    </row>
    <row r="113" spans="1:25" ht="21.95" customHeight="1" x14ac:dyDescent="0.25">
      <c r="A113" s="41"/>
      <c r="B113" s="41"/>
      <c r="C113" s="150" t="str">
        <f t="shared" si="7"/>
        <v>NY_STEUBEN</v>
      </c>
      <c r="D113" s="147" t="s">
        <v>55</v>
      </c>
      <c r="E113" s="408" t="s">
        <v>763</v>
      </c>
      <c r="F113" s="408"/>
      <c r="G113" s="408"/>
      <c r="H113" s="424" t="s">
        <v>2348</v>
      </c>
      <c r="I113" s="424"/>
      <c r="J113" s="260">
        <v>79600</v>
      </c>
      <c r="K113" s="261"/>
      <c r="L113" s="425">
        <f t="shared" si="8"/>
        <v>79600</v>
      </c>
      <c r="M113" s="425"/>
      <c r="N113" s="260">
        <v>91540</v>
      </c>
      <c r="O113" s="261"/>
      <c r="P113" s="425">
        <f t="shared" si="9"/>
        <v>91540</v>
      </c>
      <c r="Q113" s="425"/>
      <c r="R113" s="425">
        <f t="shared" si="10"/>
        <v>91540</v>
      </c>
      <c r="S113" s="425"/>
      <c r="T113" s="425">
        <f t="shared" si="11"/>
        <v>91540</v>
      </c>
      <c r="U113" s="425"/>
      <c r="V113" s="425">
        <f t="shared" si="12"/>
        <v>91540</v>
      </c>
      <c r="W113" s="425"/>
      <c r="X113" s="425">
        <f t="shared" si="13"/>
        <v>91540</v>
      </c>
      <c r="Y113" s="425"/>
    </row>
    <row r="114" spans="1:25" ht="21.95" customHeight="1" x14ac:dyDescent="0.25">
      <c r="A114" s="41"/>
      <c r="B114" s="41"/>
      <c r="C114" s="150" t="str">
        <f t="shared" si="7"/>
        <v>NY_SUFFOLK</v>
      </c>
      <c r="D114" s="147" t="s">
        <v>55</v>
      </c>
      <c r="E114" s="408" t="s">
        <v>1041</v>
      </c>
      <c r="F114" s="408"/>
      <c r="G114" s="408"/>
      <c r="H114" s="424" t="s">
        <v>2348</v>
      </c>
      <c r="I114" s="424"/>
      <c r="J114" s="260">
        <v>139488</v>
      </c>
      <c r="K114" s="261"/>
      <c r="L114" s="425">
        <f t="shared" si="8"/>
        <v>139488</v>
      </c>
      <c r="M114" s="425"/>
      <c r="N114" s="260">
        <v>162736</v>
      </c>
      <c r="O114" s="261"/>
      <c r="P114" s="425">
        <f t="shared" si="9"/>
        <v>162736</v>
      </c>
      <c r="Q114" s="425"/>
      <c r="R114" s="425">
        <f t="shared" si="10"/>
        <v>162736</v>
      </c>
      <c r="S114" s="425"/>
      <c r="T114" s="425">
        <f t="shared" si="11"/>
        <v>162736</v>
      </c>
      <c r="U114" s="425"/>
      <c r="V114" s="425">
        <f t="shared" si="12"/>
        <v>162736</v>
      </c>
      <c r="W114" s="425"/>
      <c r="X114" s="425">
        <f t="shared" si="13"/>
        <v>162736</v>
      </c>
      <c r="Y114" s="425"/>
    </row>
    <row r="115" spans="1:25" ht="21.95" customHeight="1" x14ac:dyDescent="0.25">
      <c r="A115" s="41"/>
      <c r="B115" s="41"/>
      <c r="C115" s="150" t="str">
        <f t="shared" si="7"/>
        <v>NY_SULLIVAN</v>
      </c>
      <c r="D115" s="147" t="s">
        <v>55</v>
      </c>
      <c r="E115" s="408" t="s">
        <v>764</v>
      </c>
      <c r="F115" s="408"/>
      <c r="G115" s="408"/>
      <c r="H115" s="424" t="s">
        <v>2348</v>
      </c>
      <c r="I115" s="424"/>
      <c r="J115" s="260">
        <v>79600</v>
      </c>
      <c r="K115" s="261"/>
      <c r="L115" s="425">
        <f t="shared" si="8"/>
        <v>79600</v>
      </c>
      <c r="M115" s="425"/>
      <c r="N115" s="260">
        <v>91540</v>
      </c>
      <c r="O115" s="261"/>
      <c r="P115" s="425">
        <f t="shared" si="9"/>
        <v>91540</v>
      </c>
      <c r="Q115" s="425"/>
      <c r="R115" s="425">
        <f t="shared" si="10"/>
        <v>91540</v>
      </c>
      <c r="S115" s="425"/>
      <c r="T115" s="425">
        <f t="shared" si="11"/>
        <v>91540</v>
      </c>
      <c r="U115" s="425"/>
      <c r="V115" s="425">
        <f t="shared" si="12"/>
        <v>91540</v>
      </c>
      <c r="W115" s="425"/>
      <c r="X115" s="425">
        <f t="shared" si="13"/>
        <v>91540</v>
      </c>
      <c r="Y115" s="425"/>
    </row>
    <row r="116" spans="1:25" ht="21.95" customHeight="1" x14ac:dyDescent="0.25">
      <c r="A116" s="41"/>
      <c r="B116" s="41"/>
      <c r="C116" s="150" t="str">
        <f t="shared" si="7"/>
        <v>NY_TIOGA</v>
      </c>
      <c r="D116" s="147" t="s">
        <v>55</v>
      </c>
      <c r="E116" s="408" t="s">
        <v>1398</v>
      </c>
      <c r="F116" s="408"/>
      <c r="G116" s="408"/>
      <c r="H116" s="424" t="s">
        <v>2348</v>
      </c>
      <c r="I116" s="424"/>
      <c r="J116" s="260">
        <v>79600</v>
      </c>
      <c r="K116" s="261"/>
      <c r="L116" s="425">
        <f t="shared" si="8"/>
        <v>79600</v>
      </c>
      <c r="M116" s="425"/>
      <c r="N116" s="260">
        <v>91540</v>
      </c>
      <c r="O116" s="261"/>
      <c r="P116" s="425">
        <f t="shared" si="9"/>
        <v>91540</v>
      </c>
      <c r="Q116" s="425"/>
      <c r="R116" s="425">
        <f t="shared" si="10"/>
        <v>91540</v>
      </c>
      <c r="S116" s="425"/>
      <c r="T116" s="425">
        <f t="shared" si="11"/>
        <v>91540</v>
      </c>
      <c r="U116" s="425"/>
      <c r="V116" s="425">
        <f t="shared" si="12"/>
        <v>91540</v>
      </c>
      <c r="W116" s="425"/>
      <c r="X116" s="425">
        <f t="shared" si="13"/>
        <v>91540</v>
      </c>
      <c r="Y116" s="425"/>
    </row>
    <row r="117" spans="1:25" ht="21.95" customHeight="1" x14ac:dyDescent="0.25">
      <c r="A117" s="41"/>
      <c r="B117" s="41"/>
      <c r="C117" s="150" t="str">
        <f t="shared" si="7"/>
        <v>NY_TOMPKINS</v>
      </c>
      <c r="D117" s="147" t="s">
        <v>55</v>
      </c>
      <c r="E117" s="408" t="s">
        <v>1399</v>
      </c>
      <c r="F117" s="408"/>
      <c r="G117" s="408"/>
      <c r="H117" s="424" t="s">
        <v>2348</v>
      </c>
      <c r="I117" s="424"/>
      <c r="J117" s="260">
        <v>80160</v>
      </c>
      <c r="K117" s="261"/>
      <c r="L117" s="425">
        <f t="shared" si="8"/>
        <v>80160</v>
      </c>
      <c r="M117" s="425"/>
      <c r="N117" s="260">
        <v>92184</v>
      </c>
      <c r="O117" s="261"/>
      <c r="P117" s="425">
        <f t="shared" si="9"/>
        <v>92184</v>
      </c>
      <c r="Q117" s="425"/>
      <c r="R117" s="425">
        <f t="shared" si="10"/>
        <v>92184</v>
      </c>
      <c r="S117" s="425"/>
      <c r="T117" s="425">
        <f t="shared" si="11"/>
        <v>92184</v>
      </c>
      <c r="U117" s="425"/>
      <c r="V117" s="425">
        <f t="shared" si="12"/>
        <v>92184</v>
      </c>
      <c r="W117" s="425"/>
      <c r="X117" s="425">
        <f t="shared" si="13"/>
        <v>92184</v>
      </c>
      <c r="Y117" s="425"/>
    </row>
    <row r="118" spans="1:25" ht="21.95" customHeight="1" x14ac:dyDescent="0.25">
      <c r="A118" s="41"/>
      <c r="B118" s="41"/>
      <c r="C118" s="150" t="str">
        <f t="shared" si="7"/>
        <v>NY_ULSTER</v>
      </c>
      <c r="D118" s="147" t="s">
        <v>55</v>
      </c>
      <c r="E118" s="408" t="s">
        <v>1400</v>
      </c>
      <c r="F118" s="408"/>
      <c r="G118" s="408"/>
      <c r="H118" s="424" t="s">
        <v>2348</v>
      </c>
      <c r="I118" s="424"/>
      <c r="J118" s="260">
        <v>79600</v>
      </c>
      <c r="K118" s="261"/>
      <c r="L118" s="425">
        <f t="shared" si="8"/>
        <v>79600</v>
      </c>
      <c r="M118" s="425"/>
      <c r="N118" s="260">
        <v>91540</v>
      </c>
      <c r="O118" s="261"/>
      <c r="P118" s="425">
        <f t="shared" si="9"/>
        <v>91540</v>
      </c>
      <c r="Q118" s="425"/>
      <c r="R118" s="425">
        <f t="shared" si="10"/>
        <v>91540</v>
      </c>
      <c r="S118" s="425"/>
      <c r="T118" s="425">
        <f t="shared" si="11"/>
        <v>91540</v>
      </c>
      <c r="U118" s="425"/>
      <c r="V118" s="425">
        <f t="shared" si="12"/>
        <v>91540</v>
      </c>
      <c r="W118" s="425"/>
      <c r="X118" s="425">
        <f t="shared" si="13"/>
        <v>91540</v>
      </c>
      <c r="Y118" s="425"/>
    </row>
    <row r="119" spans="1:25" ht="21.95" customHeight="1" x14ac:dyDescent="0.25">
      <c r="A119" s="41"/>
      <c r="B119" s="41"/>
      <c r="C119" s="150" t="str">
        <f t="shared" si="7"/>
        <v>NY_WARREN</v>
      </c>
      <c r="D119" s="147" t="s">
        <v>55</v>
      </c>
      <c r="E119" s="408" t="s">
        <v>633</v>
      </c>
      <c r="F119" s="408"/>
      <c r="G119" s="408"/>
      <c r="H119" s="424" t="s">
        <v>2348</v>
      </c>
      <c r="I119" s="424"/>
      <c r="J119" s="260">
        <v>79600</v>
      </c>
      <c r="K119" s="261"/>
      <c r="L119" s="425">
        <f t="shared" si="8"/>
        <v>79600</v>
      </c>
      <c r="M119" s="425"/>
      <c r="N119" s="260">
        <v>91540</v>
      </c>
      <c r="O119" s="261"/>
      <c r="P119" s="425">
        <f t="shared" si="9"/>
        <v>91540</v>
      </c>
      <c r="Q119" s="425"/>
      <c r="R119" s="425">
        <f t="shared" si="10"/>
        <v>91540</v>
      </c>
      <c r="S119" s="425"/>
      <c r="T119" s="425">
        <f t="shared" si="11"/>
        <v>91540</v>
      </c>
      <c r="U119" s="425"/>
      <c r="V119" s="425">
        <f t="shared" si="12"/>
        <v>91540</v>
      </c>
      <c r="W119" s="425"/>
      <c r="X119" s="425">
        <f t="shared" si="13"/>
        <v>91540</v>
      </c>
      <c r="Y119" s="425"/>
    </row>
    <row r="120" spans="1:25" ht="21.95" customHeight="1" x14ac:dyDescent="0.25">
      <c r="A120" s="41"/>
      <c r="B120" s="41"/>
      <c r="C120" s="150" t="str">
        <f t="shared" si="7"/>
        <v>NY_WASHINGTON</v>
      </c>
      <c r="D120" s="147" t="s">
        <v>55</v>
      </c>
      <c r="E120" s="408" t="s">
        <v>261</v>
      </c>
      <c r="F120" s="408"/>
      <c r="G120" s="408"/>
      <c r="H120" s="424" t="s">
        <v>2348</v>
      </c>
      <c r="I120" s="424"/>
      <c r="J120" s="260">
        <v>79600</v>
      </c>
      <c r="K120" s="261"/>
      <c r="L120" s="425">
        <f t="shared" si="8"/>
        <v>79600</v>
      </c>
      <c r="M120" s="425"/>
      <c r="N120" s="260">
        <v>91540</v>
      </c>
      <c r="O120" s="261"/>
      <c r="P120" s="425">
        <f t="shared" si="9"/>
        <v>91540</v>
      </c>
      <c r="Q120" s="425"/>
      <c r="R120" s="425">
        <f t="shared" si="10"/>
        <v>91540</v>
      </c>
      <c r="S120" s="425"/>
      <c r="T120" s="425">
        <f t="shared" si="11"/>
        <v>91540</v>
      </c>
      <c r="U120" s="425"/>
      <c r="V120" s="425">
        <f t="shared" si="12"/>
        <v>91540</v>
      </c>
      <c r="W120" s="425"/>
      <c r="X120" s="425">
        <f t="shared" si="13"/>
        <v>91540</v>
      </c>
      <c r="Y120" s="425"/>
    </row>
    <row r="121" spans="1:25" ht="21.95" customHeight="1" x14ac:dyDescent="0.25">
      <c r="A121" s="41"/>
      <c r="B121" s="41"/>
      <c r="C121" s="150" t="str">
        <f t="shared" si="7"/>
        <v>NY_WAYNE</v>
      </c>
      <c r="D121" s="147" t="s">
        <v>55</v>
      </c>
      <c r="E121" s="408" t="s">
        <v>634</v>
      </c>
      <c r="F121" s="408"/>
      <c r="G121" s="408"/>
      <c r="H121" s="424" t="s">
        <v>2348</v>
      </c>
      <c r="I121" s="424"/>
      <c r="J121" s="260">
        <v>79600</v>
      </c>
      <c r="K121" s="261"/>
      <c r="L121" s="425">
        <f t="shared" si="8"/>
        <v>79600</v>
      </c>
      <c r="M121" s="425"/>
      <c r="N121" s="260">
        <v>91540</v>
      </c>
      <c r="O121" s="261"/>
      <c r="P121" s="425">
        <f t="shared" si="9"/>
        <v>91540</v>
      </c>
      <c r="Q121" s="425"/>
      <c r="R121" s="425">
        <f t="shared" si="10"/>
        <v>91540</v>
      </c>
      <c r="S121" s="425"/>
      <c r="T121" s="425">
        <f t="shared" si="11"/>
        <v>91540</v>
      </c>
      <c r="U121" s="425"/>
      <c r="V121" s="425">
        <f t="shared" si="12"/>
        <v>91540</v>
      </c>
      <c r="W121" s="425"/>
      <c r="X121" s="425">
        <f t="shared" si="13"/>
        <v>91540</v>
      </c>
      <c r="Y121" s="425"/>
    </row>
    <row r="122" spans="1:25" ht="21.95" customHeight="1" x14ac:dyDescent="0.25">
      <c r="A122" s="41"/>
      <c r="B122" s="41"/>
      <c r="C122" s="150" t="str">
        <f t="shared" si="7"/>
        <v>NY_WESTCHESTER</v>
      </c>
      <c r="D122" s="147" t="s">
        <v>55</v>
      </c>
      <c r="E122" s="408" t="s">
        <v>1401</v>
      </c>
      <c r="F122" s="408"/>
      <c r="G122" s="408"/>
      <c r="H122" s="424" t="s">
        <v>2348</v>
      </c>
      <c r="I122" s="424"/>
      <c r="J122" s="260">
        <v>133056</v>
      </c>
      <c r="K122" s="261"/>
      <c r="L122" s="425">
        <f t="shared" si="8"/>
        <v>133056</v>
      </c>
      <c r="M122" s="425"/>
      <c r="N122" s="260">
        <v>155232</v>
      </c>
      <c r="O122" s="261"/>
      <c r="P122" s="425">
        <f t="shared" si="9"/>
        <v>155232</v>
      </c>
      <c r="Q122" s="425"/>
      <c r="R122" s="425">
        <f t="shared" si="10"/>
        <v>155232</v>
      </c>
      <c r="S122" s="425"/>
      <c r="T122" s="425">
        <f t="shared" si="11"/>
        <v>155232</v>
      </c>
      <c r="U122" s="425"/>
      <c r="V122" s="425">
        <f t="shared" si="12"/>
        <v>155232</v>
      </c>
      <c r="W122" s="425"/>
      <c r="X122" s="425">
        <f t="shared" si="13"/>
        <v>155232</v>
      </c>
      <c r="Y122" s="425"/>
    </row>
    <row r="123" spans="1:25" ht="21.95" customHeight="1" x14ac:dyDescent="0.25">
      <c r="A123" s="41"/>
      <c r="B123" s="41"/>
      <c r="C123" s="150" t="str">
        <f t="shared" si="7"/>
        <v>NY_WYOMING</v>
      </c>
      <c r="D123" s="147" t="s">
        <v>55</v>
      </c>
      <c r="E123" s="408" t="s">
        <v>1402</v>
      </c>
      <c r="F123" s="408"/>
      <c r="G123" s="408"/>
      <c r="H123" s="424" t="s">
        <v>2348</v>
      </c>
      <c r="I123" s="424"/>
      <c r="J123" s="260">
        <v>79600</v>
      </c>
      <c r="K123" s="261"/>
      <c r="L123" s="425">
        <f t="shared" si="8"/>
        <v>79600</v>
      </c>
      <c r="M123" s="425"/>
      <c r="N123" s="260">
        <v>91540</v>
      </c>
      <c r="O123" s="261"/>
      <c r="P123" s="425">
        <f t="shared" si="9"/>
        <v>91540</v>
      </c>
      <c r="Q123" s="425"/>
      <c r="R123" s="425">
        <f t="shared" si="10"/>
        <v>91540</v>
      </c>
      <c r="S123" s="425"/>
      <c r="T123" s="425">
        <f t="shared" si="11"/>
        <v>91540</v>
      </c>
      <c r="U123" s="425"/>
      <c r="V123" s="425">
        <f t="shared" si="12"/>
        <v>91540</v>
      </c>
      <c r="W123" s="425"/>
      <c r="X123" s="425">
        <f t="shared" si="13"/>
        <v>91540</v>
      </c>
      <c r="Y123" s="425"/>
    </row>
    <row r="124" spans="1:25" ht="21.95" customHeight="1" x14ac:dyDescent="0.25">
      <c r="A124" s="41"/>
      <c r="B124" s="41"/>
      <c r="C124" s="150" t="str">
        <f t="shared" si="7"/>
        <v>NY_YATES</v>
      </c>
      <c r="D124" s="147" t="s">
        <v>55</v>
      </c>
      <c r="E124" s="408" t="s">
        <v>1403</v>
      </c>
      <c r="F124" s="408"/>
      <c r="G124" s="408"/>
      <c r="H124" s="424" t="s">
        <v>2348</v>
      </c>
      <c r="I124" s="424"/>
      <c r="J124" s="260">
        <v>79600</v>
      </c>
      <c r="K124" s="261"/>
      <c r="L124" s="425">
        <f t="shared" si="8"/>
        <v>79600</v>
      </c>
      <c r="M124" s="425"/>
      <c r="N124" s="260">
        <v>91540</v>
      </c>
      <c r="O124" s="261"/>
      <c r="P124" s="425">
        <f t="shared" si="9"/>
        <v>91540</v>
      </c>
      <c r="Q124" s="425"/>
      <c r="R124" s="425">
        <f t="shared" si="10"/>
        <v>91540</v>
      </c>
      <c r="S124" s="425"/>
      <c r="T124" s="425">
        <f t="shared" si="11"/>
        <v>91540</v>
      </c>
      <c r="U124" s="425"/>
      <c r="V124" s="425">
        <f t="shared" si="12"/>
        <v>91540</v>
      </c>
      <c r="W124" s="425"/>
      <c r="X124" s="425">
        <f t="shared" si="13"/>
        <v>91540</v>
      </c>
      <c r="Y124" s="425"/>
    </row>
    <row r="125" spans="1:25" ht="21.95" customHeight="1" x14ac:dyDescent="0.25">
      <c r="A125" s="41"/>
      <c r="B125" s="41"/>
      <c r="C125" s="150" t="str">
        <f t="shared" si="7"/>
        <v>PR_ADJUNTAS</v>
      </c>
      <c r="D125" s="147" t="s">
        <v>69</v>
      </c>
      <c r="E125" s="408" t="s">
        <v>2436</v>
      </c>
      <c r="F125" s="408"/>
      <c r="G125" s="408"/>
      <c r="H125" s="424" t="s">
        <v>2348</v>
      </c>
      <c r="I125" s="424"/>
      <c r="J125" s="260">
        <v>22656</v>
      </c>
      <c r="K125" s="261"/>
      <c r="L125" s="425">
        <f t="shared" si="8"/>
        <v>22656</v>
      </c>
      <c r="M125" s="425"/>
      <c r="N125" s="260">
        <v>26432</v>
      </c>
      <c r="O125" s="261"/>
      <c r="P125" s="425">
        <f t="shared" si="9"/>
        <v>26432</v>
      </c>
      <c r="Q125" s="425"/>
      <c r="R125" s="425">
        <f t="shared" si="10"/>
        <v>26432</v>
      </c>
      <c r="S125" s="425"/>
      <c r="T125" s="425">
        <f t="shared" si="11"/>
        <v>26432</v>
      </c>
      <c r="U125" s="425"/>
      <c r="V125" s="425">
        <f t="shared" si="12"/>
        <v>26432</v>
      </c>
      <c r="W125" s="425"/>
      <c r="X125" s="425">
        <f t="shared" si="13"/>
        <v>26432</v>
      </c>
      <c r="Y125" s="425"/>
    </row>
    <row r="126" spans="1:25" ht="21.95" customHeight="1" x14ac:dyDescent="0.25">
      <c r="A126" s="41"/>
      <c r="B126" s="41"/>
      <c r="C126" s="150" t="str">
        <f t="shared" si="7"/>
        <v>PR_AGUADA</v>
      </c>
      <c r="D126" s="147" t="s">
        <v>69</v>
      </c>
      <c r="E126" s="408" t="s">
        <v>2437</v>
      </c>
      <c r="F126" s="408"/>
      <c r="G126" s="408"/>
      <c r="H126" s="424" t="s">
        <v>2348</v>
      </c>
      <c r="I126" s="424"/>
      <c r="J126" s="260">
        <v>24480</v>
      </c>
      <c r="K126" s="261"/>
      <c r="L126" s="425">
        <f t="shared" si="8"/>
        <v>24480</v>
      </c>
      <c r="M126" s="425"/>
      <c r="N126" s="260">
        <v>28560</v>
      </c>
      <c r="O126" s="261"/>
      <c r="P126" s="425">
        <f t="shared" si="9"/>
        <v>28560</v>
      </c>
      <c r="Q126" s="425"/>
      <c r="R126" s="425">
        <f t="shared" si="10"/>
        <v>28560</v>
      </c>
      <c r="S126" s="425"/>
      <c r="T126" s="425">
        <f t="shared" si="11"/>
        <v>28560</v>
      </c>
      <c r="U126" s="425"/>
      <c r="V126" s="425">
        <f t="shared" si="12"/>
        <v>28560</v>
      </c>
      <c r="W126" s="425"/>
      <c r="X126" s="425">
        <f t="shared" si="13"/>
        <v>28560</v>
      </c>
      <c r="Y126" s="425"/>
    </row>
    <row r="127" spans="1:25" ht="21.95" customHeight="1" x14ac:dyDescent="0.25">
      <c r="A127" s="41"/>
      <c r="B127" s="41"/>
      <c r="C127" s="150" t="str">
        <f t="shared" si="7"/>
        <v>PR_AGUADILLA</v>
      </c>
      <c r="D127" s="147" t="s">
        <v>69</v>
      </c>
      <c r="E127" s="408" t="s">
        <v>2438</v>
      </c>
      <c r="F127" s="408"/>
      <c r="G127" s="408"/>
      <c r="H127" s="424" t="s">
        <v>2348</v>
      </c>
      <c r="I127" s="424"/>
      <c r="J127" s="260">
        <v>24480</v>
      </c>
      <c r="K127" s="261"/>
      <c r="L127" s="425">
        <f t="shared" si="8"/>
        <v>24480</v>
      </c>
      <c r="M127" s="425"/>
      <c r="N127" s="260">
        <v>28560</v>
      </c>
      <c r="O127" s="261"/>
      <c r="P127" s="425">
        <f t="shared" si="9"/>
        <v>28560</v>
      </c>
      <c r="Q127" s="425"/>
      <c r="R127" s="425">
        <f t="shared" si="10"/>
        <v>28560</v>
      </c>
      <c r="S127" s="425"/>
      <c r="T127" s="425">
        <f t="shared" si="11"/>
        <v>28560</v>
      </c>
      <c r="U127" s="425"/>
      <c r="V127" s="425">
        <f t="shared" si="12"/>
        <v>28560</v>
      </c>
      <c r="W127" s="425"/>
      <c r="X127" s="425">
        <f t="shared" si="13"/>
        <v>28560</v>
      </c>
      <c r="Y127" s="425"/>
    </row>
    <row r="128" spans="1:25" ht="21.95" customHeight="1" x14ac:dyDescent="0.25">
      <c r="A128" s="41"/>
      <c r="B128" s="41"/>
      <c r="C128" s="150" t="str">
        <f t="shared" si="7"/>
        <v>PR_AGUAS BUENAS</v>
      </c>
      <c r="D128" s="147" t="s">
        <v>69</v>
      </c>
      <c r="E128" s="408" t="s">
        <v>2439</v>
      </c>
      <c r="F128" s="408"/>
      <c r="G128" s="408"/>
      <c r="H128" s="424" t="s">
        <v>2348</v>
      </c>
      <c r="I128" s="424"/>
      <c r="J128" s="260">
        <v>31968</v>
      </c>
      <c r="K128" s="261"/>
      <c r="L128" s="425">
        <f t="shared" si="8"/>
        <v>31968</v>
      </c>
      <c r="M128" s="425"/>
      <c r="N128" s="260">
        <v>37296</v>
      </c>
      <c r="O128" s="261"/>
      <c r="P128" s="425">
        <f t="shared" si="9"/>
        <v>37296</v>
      </c>
      <c r="Q128" s="425"/>
      <c r="R128" s="425">
        <f t="shared" si="10"/>
        <v>37296</v>
      </c>
      <c r="S128" s="425"/>
      <c r="T128" s="425">
        <f t="shared" si="11"/>
        <v>37296</v>
      </c>
      <c r="U128" s="425"/>
      <c r="V128" s="425">
        <f t="shared" si="12"/>
        <v>37296</v>
      </c>
      <c r="W128" s="425"/>
      <c r="X128" s="425">
        <f t="shared" si="13"/>
        <v>37296</v>
      </c>
      <c r="Y128" s="425"/>
    </row>
    <row r="129" spans="1:25" ht="21.95" customHeight="1" x14ac:dyDescent="0.25">
      <c r="A129" s="41"/>
      <c r="B129" s="41"/>
      <c r="C129" s="150" t="str">
        <f t="shared" si="7"/>
        <v>PR_AIBONITO</v>
      </c>
      <c r="D129" s="147" t="s">
        <v>69</v>
      </c>
      <c r="E129" s="408" t="s">
        <v>2440</v>
      </c>
      <c r="F129" s="408"/>
      <c r="G129" s="408"/>
      <c r="H129" s="424" t="s">
        <v>2348</v>
      </c>
      <c r="I129" s="424"/>
      <c r="J129" s="260">
        <v>22848</v>
      </c>
      <c r="K129" s="261"/>
      <c r="L129" s="425">
        <f t="shared" si="8"/>
        <v>22848</v>
      </c>
      <c r="M129" s="425"/>
      <c r="N129" s="260">
        <v>26656</v>
      </c>
      <c r="O129" s="261"/>
      <c r="P129" s="425">
        <f t="shared" si="9"/>
        <v>26656</v>
      </c>
      <c r="Q129" s="425"/>
      <c r="R129" s="425">
        <f t="shared" si="10"/>
        <v>26656</v>
      </c>
      <c r="S129" s="425"/>
      <c r="T129" s="425">
        <f t="shared" si="11"/>
        <v>26656</v>
      </c>
      <c r="U129" s="425"/>
      <c r="V129" s="425">
        <f t="shared" si="12"/>
        <v>26656</v>
      </c>
      <c r="W129" s="425"/>
      <c r="X129" s="425">
        <f t="shared" si="13"/>
        <v>26656</v>
      </c>
      <c r="Y129" s="425"/>
    </row>
    <row r="130" spans="1:25" ht="21.95" customHeight="1" x14ac:dyDescent="0.25">
      <c r="A130" s="41"/>
      <c r="B130" s="41"/>
      <c r="C130" s="150" t="str">
        <f t="shared" si="7"/>
        <v>PR_ANASCO</v>
      </c>
      <c r="D130" s="147" t="s">
        <v>69</v>
      </c>
      <c r="E130" s="408" t="s">
        <v>2441</v>
      </c>
      <c r="F130" s="408"/>
      <c r="G130" s="408"/>
      <c r="H130" s="424" t="s">
        <v>2348</v>
      </c>
      <c r="I130" s="424"/>
      <c r="J130" s="260">
        <v>24480</v>
      </c>
      <c r="K130" s="261"/>
      <c r="L130" s="425">
        <f t="shared" si="8"/>
        <v>24480</v>
      </c>
      <c r="M130" s="425"/>
      <c r="N130" s="260">
        <v>28560</v>
      </c>
      <c r="O130" s="261"/>
      <c r="P130" s="425">
        <f t="shared" si="9"/>
        <v>28560</v>
      </c>
      <c r="Q130" s="425"/>
      <c r="R130" s="425">
        <f t="shared" si="10"/>
        <v>28560</v>
      </c>
      <c r="S130" s="425"/>
      <c r="T130" s="425">
        <f t="shared" si="11"/>
        <v>28560</v>
      </c>
      <c r="U130" s="425"/>
      <c r="V130" s="425">
        <f t="shared" si="12"/>
        <v>28560</v>
      </c>
      <c r="W130" s="425"/>
      <c r="X130" s="425">
        <f t="shared" si="13"/>
        <v>28560</v>
      </c>
      <c r="Y130" s="425"/>
    </row>
    <row r="131" spans="1:25" ht="21.95" customHeight="1" x14ac:dyDescent="0.25">
      <c r="A131" s="41"/>
      <c r="B131" s="41"/>
      <c r="C131" s="150" t="str">
        <f t="shared" si="7"/>
        <v>PR_ARECIBO</v>
      </c>
      <c r="D131" s="147" t="s">
        <v>69</v>
      </c>
      <c r="E131" s="408" t="s">
        <v>2442</v>
      </c>
      <c r="F131" s="408"/>
      <c r="G131" s="408"/>
      <c r="H131" s="424" t="s">
        <v>2348</v>
      </c>
      <c r="I131" s="424"/>
      <c r="J131" s="260">
        <v>27072</v>
      </c>
      <c r="K131" s="261"/>
      <c r="L131" s="425">
        <f t="shared" si="8"/>
        <v>27072</v>
      </c>
      <c r="M131" s="425"/>
      <c r="N131" s="260">
        <v>31584</v>
      </c>
      <c r="O131" s="261"/>
      <c r="P131" s="425">
        <f t="shared" si="9"/>
        <v>31584</v>
      </c>
      <c r="Q131" s="425"/>
      <c r="R131" s="425">
        <f t="shared" si="10"/>
        <v>31584</v>
      </c>
      <c r="S131" s="425"/>
      <c r="T131" s="425">
        <f t="shared" si="11"/>
        <v>31584</v>
      </c>
      <c r="U131" s="425"/>
      <c r="V131" s="425">
        <f t="shared" si="12"/>
        <v>31584</v>
      </c>
      <c r="W131" s="425"/>
      <c r="X131" s="425">
        <f t="shared" si="13"/>
        <v>31584</v>
      </c>
      <c r="Y131" s="425"/>
    </row>
    <row r="132" spans="1:25" ht="21.95" customHeight="1" x14ac:dyDescent="0.25">
      <c r="A132" s="41"/>
      <c r="B132" s="41"/>
      <c r="C132" s="150" t="str">
        <f t="shared" si="7"/>
        <v>PR_ARROYO</v>
      </c>
      <c r="D132" s="147" t="s">
        <v>69</v>
      </c>
      <c r="E132" s="408" t="s">
        <v>2443</v>
      </c>
      <c r="F132" s="408"/>
      <c r="G132" s="408"/>
      <c r="H132" s="424" t="s">
        <v>2348</v>
      </c>
      <c r="I132" s="424"/>
      <c r="J132" s="260">
        <v>28512</v>
      </c>
      <c r="K132" s="261"/>
      <c r="L132" s="425">
        <f t="shared" si="8"/>
        <v>28512</v>
      </c>
      <c r="M132" s="425"/>
      <c r="N132" s="260">
        <v>33264</v>
      </c>
      <c r="O132" s="261"/>
      <c r="P132" s="425">
        <f t="shared" si="9"/>
        <v>33264</v>
      </c>
      <c r="Q132" s="425"/>
      <c r="R132" s="425">
        <f t="shared" si="10"/>
        <v>33264</v>
      </c>
      <c r="S132" s="425"/>
      <c r="T132" s="425">
        <f t="shared" si="11"/>
        <v>33264</v>
      </c>
      <c r="U132" s="425"/>
      <c r="V132" s="425">
        <f t="shared" si="12"/>
        <v>33264</v>
      </c>
      <c r="W132" s="425"/>
      <c r="X132" s="425">
        <f t="shared" si="13"/>
        <v>33264</v>
      </c>
      <c r="Y132" s="425"/>
    </row>
    <row r="133" spans="1:25" ht="21.95" customHeight="1" x14ac:dyDescent="0.25">
      <c r="A133" s="41"/>
      <c r="B133" s="41"/>
      <c r="C133" s="150" t="str">
        <f t="shared" si="7"/>
        <v>PR_BARCELONETA</v>
      </c>
      <c r="D133" s="147" t="s">
        <v>69</v>
      </c>
      <c r="E133" s="408" t="s">
        <v>2444</v>
      </c>
      <c r="F133" s="408"/>
      <c r="G133" s="408"/>
      <c r="H133" s="424" t="s">
        <v>2348</v>
      </c>
      <c r="I133" s="424"/>
      <c r="J133" s="260">
        <v>31968</v>
      </c>
      <c r="K133" s="261"/>
      <c r="L133" s="425">
        <f t="shared" si="8"/>
        <v>31968</v>
      </c>
      <c r="M133" s="425"/>
      <c r="N133" s="260">
        <v>37296</v>
      </c>
      <c r="O133" s="261"/>
      <c r="P133" s="425">
        <f t="shared" si="9"/>
        <v>37296</v>
      </c>
      <c r="Q133" s="425"/>
      <c r="R133" s="425">
        <f t="shared" si="10"/>
        <v>37296</v>
      </c>
      <c r="S133" s="425"/>
      <c r="T133" s="425">
        <f t="shared" si="11"/>
        <v>37296</v>
      </c>
      <c r="U133" s="425"/>
      <c r="V133" s="425">
        <f t="shared" si="12"/>
        <v>37296</v>
      </c>
      <c r="W133" s="425"/>
      <c r="X133" s="425">
        <f t="shared" si="13"/>
        <v>37296</v>
      </c>
      <c r="Y133" s="425"/>
    </row>
    <row r="134" spans="1:25" ht="21.95" customHeight="1" x14ac:dyDescent="0.25">
      <c r="A134" s="41"/>
      <c r="B134" s="41"/>
      <c r="C134" s="150" t="str">
        <f t="shared" si="7"/>
        <v>PR_BARRANQUITAS</v>
      </c>
      <c r="D134" s="147" t="s">
        <v>69</v>
      </c>
      <c r="E134" s="408" t="s">
        <v>2445</v>
      </c>
      <c r="F134" s="408"/>
      <c r="G134" s="408"/>
      <c r="H134" s="424" t="s">
        <v>2348</v>
      </c>
      <c r="I134" s="424"/>
      <c r="J134" s="260">
        <v>22848</v>
      </c>
      <c r="K134" s="261"/>
      <c r="L134" s="425">
        <f t="shared" si="8"/>
        <v>22848</v>
      </c>
      <c r="M134" s="425"/>
      <c r="N134" s="260">
        <v>26656</v>
      </c>
      <c r="O134" s="261"/>
      <c r="P134" s="425">
        <f t="shared" si="9"/>
        <v>26656</v>
      </c>
      <c r="Q134" s="425"/>
      <c r="R134" s="425">
        <f t="shared" si="10"/>
        <v>26656</v>
      </c>
      <c r="S134" s="425"/>
      <c r="T134" s="425">
        <f t="shared" si="11"/>
        <v>26656</v>
      </c>
      <c r="U134" s="425"/>
      <c r="V134" s="425">
        <f t="shared" si="12"/>
        <v>26656</v>
      </c>
      <c r="W134" s="425"/>
      <c r="X134" s="425">
        <f t="shared" si="13"/>
        <v>26656</v>
      </c>
      <c r="Y134" s="425"/>
    </row>
    <row r="135" spans="1:25" ht="21.95" customHeight="1" x14ac:dyDescent="0.25">
      <c r="A135" s="41"/>
      <c r="B135" s="41"/>
      <c r="C135" s="150" t="str">
        <f t="shared" si="7"/>
        <v>PR_BAYAMON</v>
      </c>
      <c r="D135" s="147" t="s">
        <v>69</v>
      </c>
      <c r="E135" s="408" t="s">
        <v>2446</v>
      </c>
      <c r="F135" s="408"/>
      <c r="G135" s="408"/>
      <c r="H135" s="424" t="s">
        <v>2348</v>
      </c>
      <c r="I135" s="424"/>
      <c r="J135" s="260">
        <v>31968</v>
      </c>
      <c r="K135" s="261"/>
      <c r="L135" s="425">
        <f t="shared" si="8"/>
        <v>31968</v>
      </c>
      <c r="M135" s="425"/>
      <c r="N135" s="260">
        <v>37296</v>
      </c>
      <c r="O135" s="261"/>
      <c r="P135" s="425">
        <f t="shared" si="9"/>
        <v>37296</v>
      </c>
      <c r="Q135" s="425"/>
      <c r="R135" s="425">
        <f t="shared" si="10"/>
        <v>37296</v>
      </c>
      <c r="S135" s="425"/>
      <c r="T135" s="425">
        <f t="shared" si="11"/>
        <v>37296</v>
      </c>
      <c r="U135" s="425"/>
      <c r="V135" s="425">
        <f t="shared" si="12"/>
        <v>37296</v>
      </c>
      <c r="W135" s="425"/>
      <c r="X135" s="425">
        <f t="shared" si="13"/>
        <v>37296</v>
      </c>
      <c r="Y135" s="425"/>
    </row>
    <row r="136" spans="1:25" ht="21.95" customHeight="1" x14ac:dyDescent="0.25">
      <c r="A136" s="41"/>
      <c r="B136" s="41"/>
      <c r="C136" s="150" t="str">
        <f t="shared" si="7"/>
        <v>PR_CABO ROJO</v>
      </c>
      <c r="D136" s="147" t="s">
        <v>69</v>
      </c>
      <c r="E136" s="408" t="s">
        <v>2447</v>
      </c>
      <c r="F136" s="408"/>
      <c r="G136" s="408"/>
      <c r="H136" s="424" t="s">
        <v>2348</v>
      </c>
      <c r="I136" s="424"/>
      <c r="J136" s="260">
        <v>22656</v>
      </c>
      <c r="K136" s="261"/>
      <c r="L136" s="425">
        <f t="shared" si="8"/>
        <v>22656</v>
      </c>
      <c r="M136" s="425"/>
      <c r="N136" s="260">
        <v>26432</v>
      </c>
      <c r="O136" s="261"/>
      <c r="P136" s="425">
        <f t="shared" si="9"/>
        <v>26432</v>
      </c>
      <c r="Q136" s="425"/>
      <c r="R136" s="425">
        <f t="shared" si="10"/>
        <v>26432</v>
      </c>
      <c r="S136" s="425"/>
      <c r="T136" s="425">
        <f t="shared" si="11"/>
        <v>26432</v>
      </c>
      <c r="U136" s="425"/>
      <c r="V136" s="425">
        <f t="shared" si="12"/>
        <v>26432</v>
      </c>
      <c r="W136" s="425"/>
      <c r="X136" s="425">
        <f t="shared" si="13"/>
        <v>26432</v>
      </c>
      <c r="Y136" s="425"/>
    </row>
    <row r="137" spans="1:25" ht="21.95" customHeight="1" x14ac:dyDescent="0.25">
      <c r="A137" s="41"/>
      <c r="B137" s="41"/>
      <c r="C137" s="150" t="str">
        <f t="shared" si="7"/>
        <v>PR_CAGUAS</v>
      </c>
      <c r="D137" s="147" t="s">
        <v>69</v>
      </c>
      <c r="E137" s="408" t="s">
        <v>2448</v>
      </c>
      <c r="F137" s="408"/>
      <c r="G137" s="408"/>
      <c r="H137" s="424" t="s">
        <v>2348</v>
      </c>
      <c r="I137" s="424"/>
      <c r="J137" s="260">
        <v>29760</v>
      </c>
      <c r="K137" s="261"/>
      <c r="L137" s="425">
        <f t="shared" si="8"/>
        <v>29760</v>
      </c>
      <c r="M137" s="425"/>
      <c r="N137" s="260">
        <v>34720</v>
      </c>
      <c r="O137" s="261"/>
      <c r="P137" s="425">
        <f t="shared" si="9"/>
        <v>34720</v>
      </c>
      <c r="Q137" s="425"/>
      <c r="R137" s="425">
        <f t="shared" si="10"/>
        <v>34720</v>
      </c>
      <c r="S137" s="425"/>
      <c r="T137" s="425">
        <f t="shared" si="11"/>
        <v>34720</v>
      </c>
      <c r="U137" s="425"/>
      <c r="V137" s="425">
        <f t="shared" si="12"/>
        <v>34720</v>
      </c>
      <c r="W137" s="425"/>
      <c r="X137" s="425">
        <f t="shared" si="13"/>
        <v>34720</v>
      </c>
      <c r="Y137" s="425"/>
    </row>
    <row r="138" spans="1:25" ht="21.95" customHeight="1" x14ac:dyDescent="0.25">
      <c r="A138" s="41"/>
      <c r="B138" s="41"/>
      <c r="C138" s="150" t="str">
        <f t="shared" si="7"/>
        <v>PR_CAMUY</v>
      </c>
      <c r="D138" s="147" t="s">
        <v>69</v>
      </c>
      <c r="E138" s="408" t="s">
        <v>2449</v>
      </c>
      <c r="F138" s="408"/>
      <c r="G138" s="408"/>
      <c r="H138" s="424" t="s">
        <v>2348</v>
      </c>
      <c r="I138" s="424"/>
      <c r="J138" s="260">
        <v>27072</v>
      </c>
      <c r="K138" s="261"/>
      <c r="L138" s="425">
        <f t="shared" si="8"/>
        <v>27072</v>
      </c>
      <c r="M138" s="425"/>
      <c r="N138" s="260">
        <v>31584</v>
      </c>
      <c r="O138" s="261"/>
      <c r="P138" s="425">
        <f t="shared" si="9"/>
        <v>31584</v>
      </c>
      <c r="Q138" s="425"/>
      <c r="R138" s="425">
        <f t="shared" si="10"/>
        <v>31584</v>
      </c>
      <c r="S138" s="425"/>
      <c r="T138" s="425">
        <f t="shared" si="11"/>
        <v>31584</v>
      </c>
      <c r="U138" s="425"/>
      <c r="V138" s="425">
        <f t="shared" si="12"/>
        <v>31584</v>
      </c>
      <c r="W138" s="425"/>
      <c r="X138" s="425">
        <f t="shared" si="13"/>
        <v>31584</v>
      </c>
      <c r="Y138" s="425"/>
    </row>
    <row r="139" spans="1:25" ht="21.95" customHeight="1" x14ac:dyDescent="0.25">
      <c r="A139" s="41"/>
      <c r="B139" s="41"/>
      <c r="C139" s="150" t="str">
        <f t="shared" si="7"/>
        <v>PR_CANOVANAS</v>
      </c>
      <c r="D139" s="147" t="s">
        <v>69</v>
      </c>
      <c r="E139" s="408" t="s">
        <v>2450</v>
      </c>
      <c r="F139" s="408"/>
      <c r="G139" s="408"/>
      <c r="H139" s="424" t="s">
        <v>2348</v>
      </c>
      <c r="I139" s="424"/>
      <c r="J139" s="260">
        <v>31968</v>
      </c>
      <c r="K139" s="261"/>
      <c r="L139" s="425">
        <f t="shared" si="8"/>
        <v>31968</v>
      </c>
      <c r="M139" s="425"/>
      <c r="N139" s="260">
        <v>37296</v>
      </c>
      <c r="O139" s="261"/>
      <c r="P139" s="425">
        <f t="shared" si="9"/>
        <v>37296</v>
      </c>
      <c r="Q139" s="425"/>
      <c r="R139" s="425">
        <f t="shared" si="10"/>
        <v>37296</v>
      </c>
      <c r="S139" s="425"/>
      <c r="T139" s="425">
        <f t="shared" si="11"/>
        <v>37296</v>
      </c>
      <c r="U139" s="425"/>
      <c r="V139" s="425">
        <f t="shared" si="12"/>
        <v>37296</v>
      </c>
      <c r="W139" s="425"/>
      <c r="X139" s="425">
        <f t="shared" si="13"/>
        <v>37296</v>
      </c>
      <c r="Y139" s="425"/>
    </row>
    <row r="140" spans="1:25" ht="21.95" customHeight="1" x14ac:dyDescent="0.25">
      <c r="A140" s="41"/>
      <c r="B140" s="41"/>
      <c r="C140" s="150" t="str">
        <f t="shared" si="7"/>
        <v>PR_CAROLINA</v>
      </c>
      <c r="D140" s="147" t="s">
        <v>69</v>
      </c>
      <c r="E140" s="408" t="s">
        <v>2451</v>
      </c>
      <c r="F140" s="408"/>
      <c r="G140" s="408"/>
      <c r="H140" s="424" t="s">
        <v>2348</v>
      </c>
      <c r="I140" s="424"/>
      <c r="J140" s="260">
        <v>31968</v>
      </c>
      <c r="K140" s="261"/>
      <c r="L140" s="425">
        <f t="shared" si="8"/>
        <v>31968</v>
      </c>
      <c r="M140" s="425"/>
      <c r="N140" s="260">
        <v>37296</v>
      </c>
      <c r="O140" s="261"/>
      <c r="P140" s="425">
        <f t="shared" si="9"/>
        <v>37296</v>
      </c>
      <c r="Q140" s="425"/>
      <c r="R140" s="425">
        <f t="shared" si="10"/>
        <v>37296</v>
      </c>
      <c r="S140" s="425"/>
      <c r="T140" s="425">
        <f t="shared" si="11"/>
        <v>37296</v>
      </c>
      <c r="U140" s="425"/>
      <c r="V140" s="425">
        <f t="shared" si="12"/>
        <v>37296</v>
      </c>
      <c r="W140" s="425"/>
      <c r="X140" s="425">
        <f t="shared" si="13"/>
        <v>37296</v>
      </c>
      <c r="Y140" s="425"/>
    </row>
    <row r="141" spans="1:25" ht="21.95" customHeight="1" x14ac:dyDescent="0.25">
      <c r="A141" s="41"/>
      <c r="B141" s="41"/>
      <c r="C141" s="150" t="str">
        <f t="shared" si="7"/>
        <v>PR_CATANO</v>
      </c>
      <c r="D141" s="147" t="s">
        <v>69</v>
      </c>
      <c r="E141" s="408" t="s">
        <v>2452</v>
      </c>
      <c r="F141" s="408"/>
      <c r="G141" s="408"/>
      <c r="H141" s="424" t="s">
        <v>2348</v>
      </c>
      <c r="I141" s="424"/>
      <c r="J141" s="260">
        <v>31968</v>
      </c>
      <c r="K141" s="261"/>
      <c r="L141" s="425">
        <f t="shared" si="8"/>
        <v>31968</v>
      </c>
      <c r="M141" s="425"/>
      <c r="N141" s="260">
        <v>37296</v>
      </c>
      <c r="O141" s="261"/>
      <c r="P141" s="425">
        <f t="shared" si="9"/>
        <v>37296</v>
      </c>
      <c r="Q141" s="425"/>
      <c r="R141" s="425">
        <f t="shared" si="10"/>
        <v>37296</v>
      </c>
      <c r="S141" s="425"/>
      <c r="T141" s="425">
        <f t="shared" si="11"/>
        <v>37296</v>
      </c>
      <c r="U141" s="425"/>
      <c r="V141" s="425">
        <f t="shared" si="12"/>
        <v>37296</v>
      </c>
      <c r="W141" s="425"/>
      <c r="X141" s="425">
        <f t="shared" si="13"/>
        <v>37296</v>
      </c>
      <c r="Y141" s="425"/>
    </row>
    <row r="142" spans="1:25" ht="21.95" customHeight="1" x14ac:dyDescent="0.25">
      <c r="A142" s="41"/>
      <c r="B142" s="41"/>
      <c r="C142" s="150" t="str">
        <f t="shared" si="7"/>
        <v>PR_CAYEY</v>
      </c>
      <c r="D142" s="147" t="s">
        <v>69</v>
      </c>
      <c r="E142" s="408" t="s">
        <v>2453</v>
      </c>
      <c r="F142" s="408"/>
      <c r="G142" s="408"/>
      <c r="H142" s="424" t="s">
        <v>2348</v>
      </c>
      <c r="I142" s="424"/>
      <c r="J142" s="260">
        <v>29760</v>
      </c>
      <c r="K142" s="261"/>
      <c r="L142" s="425">
        <f t="shared" si="8"/>
        <v>29760</v>
      </c>
      <c r="M142" s="425"/>
      <c r="N142" s="260">
        <v>34720</v>
      </c>
      <c r="O142" s="261"/>
      <c r="P142" s="425">
        <f t="shared" si="9"/>
        <v>34720</v>
      </c>
      <c r="Q142" s="425"/>
      <c r="R142" s="425">
        <f t="shared" si="10"/>
        <v>34720</v>
      </c>
      <c r="S142" s="425"/>
      <c r="T142" s="425">
        <f t="shared" si="11"/>
        <v>34720</v>
      </c>
      <c r="U142" s="425"/>
      <c r="V142" s="425">
        <f t="shared" si="12"/>
        <v>34720</v>
      </c>
      <c r="W142" s="425"/>
      <c r="X142" s="425">
        <f t="shared" si="13"/>
        <v>34720</v>
      </c>
      <c r="Y142" s="425"/>
    </row>
    <row r="143" spans="1:25" ht="21.95" customHeight="1" x14ac:dyDescent="0.25">
      <c r="A143" s="41"/>
      <c r="B143" s="41"/>
      <c r="C143" s="150" t="str">
        <f t="shared" si="7"/>
        <v>PR_CEIBA</v>
      </c>
      <c r="D143" s="147" t="s">
        <v>69</v>
      </c>
      <c r="E143" s="408" t="s">
        <v>2454</v>
      </c>
      <c r="F143" s="408"/>
      <c r="G143" s="408"/>
      <c r="H143" s="424" t="s">
        <v>2348</v>
      </c>
      <c r="I143" s="424"/>
      <c r="J143" s="260">
        <v>29088</v>
      </c>
      <c r="K143" s="261"/>
      <c r="L143" s="425">
        <f t="shared" si="8"/>
        <v>29088</v>
      </c>
      <c r="M143" s="425"/>
      <c r="N143" s="260">
        <v>33936</v>
      </c>
      <c r="O143" s="261"/>
      <c r="P143" s="425">
        <f t="shared" si="9"/>
        <v>33936</v>
      </c>
      <c r="Q143" s="425"/>
      <c r="R143" s="425">
        <f t="shared" si="10"/>
        <v>33936</v>
      </c>
      <c r="S143" s="425"/>
      <c r="T143" s="425">
        <f t="shared" si="11"/>
        <v>33936</v>
      </c>
      <c r="U143" s="425"/>
      <c r="V143" s="425">
        <f t="shared" si="12"/>
        <v>33936</v>
      </c>
      <c r="W143" s="425"/>
      <c r="X143" s="425">
        <f t="shared" si="13"/>
        <v>33936</v>
      </c>
      <c r="Y143" s="425"/>
    </row>
    <row r="144" spans="1:25" ht="21.95" customHeight="1" x14ac:dyDescent="0.25">
      <c r="A144" s="41"/>
      <c r="B144" s="41"/>
      <c r="C144" s="150" t="str">
        <f t="shared" si="7"/>
        <v>PR_CIALES</v>
      </c>
      <c r="D144" s="147" t="s">
        <v>69</v>
      </c>
      <c r="E144" s="408" t="s">
        <v>2455</v>
      </c>
      <c r="F144" s="408"/>
      <c r="G144" s="408"/>
      <c r="H144" s="424" t="s">
        <v>2348</v>
      </c>
      <c r="I144" s="424"/>
      <c r="J144" s="260">
        <v>22848</v>
      </c>
      <c r="K144" s="261"/>
      <c r="L144" s="425">
        <f t="shared" si="8"/>
        <v>22848</v>
      </c>
      <c r="M144" s="425"/>
      <c r="N144" s="260">
        <v>26656</v>
      </c>
      <c r="O144" s="261"/>
      <c r="P144" s="425">
        <f t="shared" si="9"/>
        <v>26656</v>
      </c>
      <c r="Q144" s="425"/>
      <c r="R144" s="425">
        <f t="shared" si="10"/>
        <v>26656</v>
      </c>
      <c r="S144" s="425"/>
      <c r="T144" s="425">
        <f t="shared" si="11"/>
        <v>26656</v>
      </c>
      <c r="U144" s="425"/>
      <c r="V144" s="425">
        <f t="shared" si="12"/>
        <v>26656</v>
      </c>
      <c r="W144" s="425"/>
      <c r="X144" s="425">
        <f t="shared" si="13"/>
        <v>26656</v>
      </c>
      <c r="Y144" s="425"/>
    </row>
    <row r="145" spans="1:25" ht="21.95" customHeight="1" x14ac:dyDescent="0.25">
      <c r="A145" s="41"/>
      <c r="B145" s="41"/>
      <c r="C145" s="150" t="str">
        <f t="shared" si="7"/>
        <v>PR_CIDRA</v>
      </c>
      <c r="D145" s="147" t="s">
        <v>69</v>
      </c>
      <c r="E145" s="408" t="s">
        <v>2456</v>
      </c>
      <c r="F145" s="408"/>
      <c r="G145" s="408"/>
      <c r="H145" s="424" t="s">
        <v>2348</v>
      </c>
      <c r="I145" s="424"/>
      <c r="J145" s="260">
        <v>29760</v>
      </c>
      <c r="K145" s="261"/>
      <c r="L145" s="425">
        <f t="shared" si="8"/>
        <v>29760</v>
      </c>
      <c r="M145" s="425"/>
      <c r="N145" s="260">
        <v>34720</v>
      </c>
      <c r="O145" s="261"/>
      <c r="P145" s="425">
        <f t="shared" si="9"/>
        <v>34720</v>
      </c>
      <c r="Q145" s="425"/>
      <c r="R145" s="425">
        <f t="shared" si="10"/>
        <v>34720</v>
      </c>
      <c r="S145" s="425"/>
      <c r="T145" s="425">
        <f t="shared" si="11"/>
        <v>34720</v>
      </c>
      <c r="U145" s="425"/>
      <c r="V145" s="425">
        <f t="shared" si="12"/>
        <v>34720</v>
      </c>
      <c r="W145" s="425"/>
      <c r="X145" s="425">
        <f t="shared" si="13"/>
        <v>34720</v>
      </c>
      <c r="Y145" s="425"/>
    </row>
    <row r="146" spans="1:25" ht="21.95" customHeight="1" x14ac:dyDescent="0.25">
      <c r="A146" s="41"/>
      <c r="B146" s="41"/>
      <c r="C146" s="150" t="str">
        <f t="shared" si="7"/>
        <v>PR_COAMO</v>
      </c>
      <c r="D146" s="147" t="s">
        <v>69</v>
      </c>
      <c r="E146" s="408" t="s">
        <v>2457</v>
      </c>
      <c r="F146" s="408"/>
      <c r="G146" s="408"/>
      <c r="H146" s="424" t="s">
        <v>2348</v>
      </c>
      <c r="I146" s="424"/>
      <c r="J146" s="260">
        <v>22656</v>
      </c>
      <c r="K146" s="261"/>
      <c r="L146" s="425">
        <f t="shared" si="8"/>
        <v>22656</v>
      </c>
      <c r="M146" s="425"/>
      <c r="N146" s="260">
        <v>26432</v>
      </c>
      <c r="O146" s="261"/>
      <c r="P146" s="425">
        <f t="shared" si="9"/>
        <v>26432</v>
      </c>
      <c r="Q146" s="425"/>
      <c r="R146" s="425">
        <f t="shared" si="10"/>
        <v>26432</v>
      </c>
      <c r="S146" s="425"/>
      <c r="T146" s="425">
        <f t="shared" si="11"/>
        <v>26432</v>
      </c>
      <c r="U146" s="425"/>
      <c r="V146" s="425">
        <f t="shared" si="12"/>
        <v>26432</v>
      </c>
      <c r="W146" s="425"/>
      <c r="X146" s="425">
        <f t="shared" si="13"/>
        <v>26432</v>
      </c>
      <c r="Y146" s="425"/>
    </row>
    <row r="147" spans="1:25" ht="21.95" customHeight="1" x14ac:dyDescent="0.25">
      <c r="A147" s="41"/>
      <c r="B147" s="41"/>
      <c r="C147" s="150" t="str">
        <f t="shared" si="7"/>
        <v>PR_COMERIO</v>
      </c>
      <c r="D147" s="147" t="s">
        <v>69</v>
      </c>
      <c r="E147" s="408" t="s">
        <v>2458</v>
      </c>
      <c r="F147" s="408"/>
      <c r="G147" s="408"/>
      <c r="H147" s="424" t="s">
        <v>2348</v>
      </c>
      <c r="I147" s="424"/>
      <c r="J147" s="260">
        <v>31968</v>
      </c>
      <c r="K147" s="261"/>
      <c r="L147" s="425">
        <f t="shared" si="8"/>
        <v>31968</v>
      </c>
      <c r="M147" s="425"/>
      <c r="N147" s="260">
        <v>37296</v>
      </c>
      <c r="O147" s="261"/>
      <c r="P147" s="425">
        <f t="shared" si="9"/>
        <v>37296</v>
      </c>
      <c r="Q147" s="425"/>
      <c r="R147" s="425">
        <f t="shared" si="10"/>
        <v>37296</v>
      </c>
      <c r="S147" s="425"/>
      <c r="T147" s="425">
        <f t="shared" si="11"/>
        <v>37296</v>
      </c>
      <c r="U147" s="425"/>
      <c r="V147" s="425">
        <f t="shared" si="12"/>
        <v>37296</v>
      </c>
      <c r="W147" s="425"/>
      <c r="X147" s="425">
        <f t="shared" si="13"/>
        <v>37296</v>
      </c>
      <c r="Y147" s="425"/>
    </row>
    <row r="148" spans="1:25" ht="21.95" customHeight="1" x14ac:dyDescent="0.25">
      <c r="A148" s="41"/>
      <c r="B148" s="41"/>
      <c r="C148" s="150" t="str">
        <f t="shared" si="7"/>
        <v>PR_COROZAL</v>
      </c>
      <c r="D148" s="147" t="s">
        <v>69</v>
      </c>
      <c r="E148" s="408" t="s">
        <v>2459</v>
      </c>
      <c r="F148" s="408"/>
      <c r="G148" s="408"/>
      <c r="H148" s="424" t="s">
        <v>2348</v>
      </c>
      <c r="I148" s="424"/>
      <c r="J148" s="260">
        <v>31968</v>
      </c>
      <c r="K148" s="261"/>
      <c r="L148" s="425">
        <f t="shared" si="8"/>
        <v>31968</v>
      </c>
      <c r="M148" s="425"/>
      <c r="N148" s="260">
        <v>37296</v>
      </c>
      <c r="O148" s="261"/>
      <c r="P148" s="425">
        <f t="shared" si="9"/>
        <v>37296</v>
      </c>
      <c r="Q148" s="425"/>
      <c r="R148" s="425">
        <f t="shared" si="10"/>
        <v>37296</v>
      </c>
      <c r="S148" s="425"/>
      <c r="T148" s="425">
        <f t="shared" si="11"/>
        <v>37296</v>
      </c>
      <c r="U148" s="425"/>
      <c r="V148" s="425">
        <f t="shared" si="12"/>
        <v>37296</v>
      </c>
      <c r="W148" s="425"/>
      <c r="X148" s="425">
        <f t="shared" si="13"/>
        <v>37296</v>
      </c>
      <c r="Y148" s="425"/>
    </row>
    <row r="149" spans="1:25" ht="21.95" customHeight="1" x14ac:dyDescent="0.25">
      <c r="A149" s="41"/>
      <c r="B149" s="41"/>
      <c r="C149" s="150" t="str">
        <f t="shared" si="7"/>
        <v>PR_CULEBRA</v>
      </c>
      <c r="D149" s="147" t="s">
        <v>69</v>
      </c>
      <c r="E149" s="408" t="s">
        <v>2460</v>
      </c>
      <c r="F149" s="408"/>
      <c r="G149" s="408"/>
      <c r="H149" s="424" t="s">
        <v>2348</v>
      </c>
      <c r="I149" s="424"/>
      <c r="J149" s="260">
        <v>22656</v>
      </c>
      <c r="K149" s="261"/>
      <c r="L149" s="425">
        <f t="shared" si="8"/>
        <v>22656</v>
      </c>
      <c r="M149" s="425"/>
      <c r="N149" s="260">
        <v>26432</v>
      </c>
      <c r="O149" s="261"/>
      <c r="P149" s="425">
        <f t="shared" si="9"/>
        <v>26432</v>
      </c>
      <c r="Q149" s="425"/>
      <c r="R149" s="425">
        <f t="shared" si="10"/>
        <v>26432</v>
      </c>
      <c r="S149" s="425"/>
      <c r="T149" s="425">
        <f t="shared" si="11"/>
        <v>26432</v>
      </c>
      <c r="U149" s="425"/>
      <c r="V149" s="425">
        <f t="shared" si="12"/>
        <v>26432</v>
      </c>
      <c r="W149" s="425"/>
      <c r="X149" s="425">
        <f t="shared" si="13"/>
        <v>26432</v>
      </c>
      <c r="Y149" s="425"/>
    </row>
    <row r="150" spans="1:25" ht="21.95" customHeight="1" x14ac:dyDescent="0.25">
      <c r="A150" s="41"/>
      <c r="B150" s="41"/>
      <c r="C150" s="150" t="str">
        <f t="shared" si="7"/>
        <v>PR_DORADO</v>
      </c>
      <c r="D150" s="147" t="s">
        <v>69</v>
      </c>
      <c r="E150" s="408" t="s">
        <v>2461</v>
      </c>
      <c r="F150" s="408"/>
      <c r="G150" s="408"/>
      <c r="H150" s="424" t="s">
        <v>2348</v>
      </c>
      <c r="I150" s="424"/>
      <c r="J150" s="260">
        <v>31968</v>
      </c>
      <c r="K150" s="261"/>
      <c r="L150" s="425">
        <f t="shared" si="8"/>
        <v>31968</v>
      </c>
      <c r="M150" s="425"/>
      <c r="N150" s="260">
        <v>37296</v>
      </c>
      <c r="O150" s="261"/>
      <c r="P150" s="425">
        <f t="shared" si="9"/>
        <v>37296</v>
      </c>
      <c r="Q150" s="425"/>
      <c r="R150" s="425">
        <f t="shared" si="10"/>
        <v>37296</v>
      </c>
      <c r="S150" s="425"/>
      <c r="T150" s="425">
        <f t="shared" si="11"/>
        <v>37296</v>
      </c>
      <c r="U150" s="425"/>
      <c r="V150" s="425">
        <f t="shared" si="12"/>
        <v>37296</v>
      </c>
      <c r="W150" s="425"/>
      <c r="X150" s="425">
        <f t="shared" si="13"/>
        <v>37296</v>
      </c>
      <c r="Y150" s="425"/>
    </row>
    <row r="151" spans="1:25" ht="21.95" customHeight="1" x14ac:dyDescent="0.25">
      <c r="A151" s="41"/>
      <c r="B151" s="41"/>
      <c r="C151" s="150" t="str">
        <f t="shared" si="7"/>
        <v>PR_FAJARDO</v>
      </c>
      <c r="D151" s="147" t="s">
        <v>69</v>
      </c>
      <c r="E151" s="408" t="s">
        <v>2462</v>
      </c>
      <c r="F151" s="408"/>
      <c r="G151" s="408"/>
      <c r="H151" s="424" t="s">
        <v>2348</v>
      </c>
      <c r="I151" s="424"/>
      <c r="J151" s="260">
        <v>29088</v>
      </c>
      <c r="K151" s="261"/>
      <c r="L151" s="425">
        <f t="shared" si="8"/>
        <v>29088</v>
      </c>
      <c r="M151" s="425"/>
      <c r="N151" s="260">
        <v>33936</v>
      </c>
      <c r="O151" s="261"/>
      <c r="P151" s="425">
        <f t="shared" si="9"/>
        <v>33936</v>
      </c>
      <c r="Q151" s="425"/>
      <c r="R151" s="425">
        <f t="shared" si="10"/>
        <v>33936</v>
      </c>
      <c r="S151" s="425"/>
      <c r="T151" s="425">
        <f t="shared" si="11"/>
        <v>33936</v>
      </c>
      <c r="U151" s="425"/>
      <c r="V151" s="425">
        <f t="shared" si="12"/>
        <v>33936</v>
      </c>
      <c r="W151" s="425"/>
      <c r="X151" s="425">
        <f t="shared" si="13"/>
        <v>33936</v>
      </c>
      <c r="Y151" s="425"/>
    </row>
    <row r="152" spans="1:25" ht="21.95" customHeight="1" x14ac:dyDescent="0.25">
      <c r="A152" s="41"/>
      <c r="B152" s="41"/>
      <c r="C152" s="150" t="str">
        <f t="shared" si="7"/>
        <v>PR_FLORIDA</v>
      </c>
      <c r="D152" s="147" t="s">
        <v>69</v>
      </c>
      <c r="E152" s="408" t="s">
        <v>2463</v>
      </c>
      <c r="F152" s="408"/>
      <c r="G152" s="408"/>
      <c r="H152" s="424" t="s">
        <v>2348</v>
      </c>
      <c r="I152" s="424"/>
      <c r="J152" s="260">
        <v>31968</v>
      </c>
      <c r="K152" s="261"/>
      <c r="L152" s="425">
        <f t="shared" si="8"/>
        <v>31968</v>
      </c>
      <c r="M152" s="425"/>
      <c r="N152" s="260">
        <v>37296</v>
      </c>
      <c r="O152" s="261"/>
      <c r="P152" s="425">
        <f t="shared" si="9"/>
        <v>37296</v>
      </c>
      <c r="Q152" s="425"/>
      <c r="R152" s="425">
        <f t="shared" si="10"/>
        <v>37296</v>
      </c>
      <c r="S152" s="425"/>
      <c r="T152" s="425">
        <f t="shared" si="11"/>
        <v>37296</v>
      </c>
      <c r="U152" s="425"/>
      <c r="V152" s="425">
        <f t="shared" si="12"/>
        <v>37296</v>
      </c>
      <c r="W152" s="425"/>
      <c r="X152" s="425">
        <f t="shared" si="13"/>
        <v>37296</v>
      </c>
      <c r="Y152" s="425"/>
    </row>
    <row r="153" spans="1:25" ht="21.95" customHeight="1" x14ac:dyDescent="0.25">
      <c r="A153" s="41"/>
      <c r="B153" s="41"/>
      <c r="C153" s="150" t="str">
        <f t="shared" si="7"/>
        <v>PR_GUANICA</v>
      </c>
      <c r="D153" s="147" t="s">
        <v>69</v>
      </c>
      <c r="E153" s="408" t="s">
        <v>2464</v>
      </c>
      <c r="F153" s="408"/>
      <c r="G153" s="408"/>
      <c r="H153" s="424" t="s">
        <v>2348</v>
      </c>
      <c r="I153" s="424"/>
      <c r="J153" s="260">
        <v>22944</v>
      </c>
      <c r="K153" s="261"/>
      <c r="L153" s="425">
        <f t="shared" si="8"/>
        <v>22944</v>
      </c>
      <c r="M153" s="425"/>
      <c r="N153" s="260">
        <v>26768</v>
      </c>
      <c r="O153" s="261"/>
      <c r="P153" s="425">
        <f t="shared" si="9"/>
        <v>26768</v>
      </c>
      <c r="Q153" s="425"/>
      <c r="R153" s="425">
        <f t="shared" si="10"/>
        <v>26768</v>
      </c>
      <c r="S153" s="425"/>
      <c r="T153" s="425">
        <f t="shared" si="11"/>
        <v>26768</v>
      </c>
      <c r="U153" s="425"/>
      <c r="V153" s="425">
        <f t="shared" si="12"/>
        <v>26768</v>
      </c>
      <c r="W153" s="425"/>
      <c r="X153" s="425">
        <f t="shared" si="13"/>
        <v>26768</v>
      </c>
      <c r="Y153" s="425"/>
    </row>
    <row r="154" spans="1:25" ht="21.95" customHeight="1" x14ac:dyDescent="0.25">
      <c r="A154" s="41"/>
      <c r="B154" s="41"/>
      <c r="C154" s="150" t="str">
        <f t="shared" si="7"/>
        <v>PR_GUAYAMA</v>
      </c>
      <c r="D154" s="147" t="s">
        <v>69</v>
      </c>
      <c r="E154" s="408" t="s">
        <v>2465</v>
      </c>
      <c r="F154" s="408"/>
      <c r="G154" s="408"/>
      <c r="H154" s="424" t="s">
        <v>2348</v>
      </c>
      <c r="I154" s="424"/>
      <c r="J154" s="260">
        <v>28512</v>
      </c>
      <c r="K154" s="261"/>
      <c r="L154" s="425">
        <f t="shared" si="8"/>
        <v>28512</v>
      </c>
      <c r="M154" s="425"/>
      <c r="N154" s="260">
        <v>33264</v>
      </c>
      <c r="O154" s="261"/>
      <c r="P154" s="425">
        <f t="shared" si="9"/>
        <v>33264</v>
      </c>
      <c r="Q154" s="425"/>
      <c r="R154" s="425">
        <f t="shared" si="10"/>
        <v>33264</v>
      </c>
      <c r="S154" s="425"/>
      <c r="T154" s="425">
        <f t="shared" si="11"/>
        <v>33264</v>
      </c>
      <c r="U154" s="425"/>
      <c r="V154" s="425">
        <f t="shared" si="12"/>
        <v>33264</v>
      </c>
      <c r="W154" s="425"/>
      <c r="X154" s="425">
        <f t="shared" si="13"/>
        <v>33264</v>
      </c>
      <c r="Y154" s="425"/>
    </row>
    <row r="155" spans="1:25" ht="21.95" customHeight="1" x14ac:dyDescent="0.25">
      <c r="A155" s="41"/>
      <c r="B155" s="41"/>
      <c r="C155" s="150" t="str">
        <f t="shared" si="7"/>
        <v>PR_GUAYANILLA</v>
      </c>
      <c r="D155" s="147" t="s">
        <v>69</v>
      </c>
      <c r="E155" s="408" t="s">
        <v>2466</v>
      </c>
      <c r="F155" s="408"/>
      <c r="G155" s="408"/>
      <c r="H155" s="424" t="s">
        <v>2348</v>
      </c>
      <c r="I155" s="424"/>
      <c r="J155" s="260">
        <v>22944</v>
      </c>
      <c r="K155" s="261"/>
      <c r="L155" s="425">
        <f t="shared" si="8"/>
        <v>22944</v>
      </c>
      <c r="M155" s="425"/>
      <c r="N155" s="260">
        <v>26768</v>
      </c>
      <c r="O155" s="261"/>
      <c r="P155" s="425">
        <f t="shared" si="9"/>
        <v>26768</v>
      </c>
      <c r="Q155" s="425"/>
      <c r="R155" s="425">
        <f t="shared" si="10"/>
        <v>26768</v>
      </c>
      <c r="S155" s="425"/>
      <c r="T155" s="425">
        <f t="shared" si="11"/>
        <v>26768</v>
      </c>
      <c r="U155" s="425"/>
      <c r="V155" s="425">
        <f t="shared" si="12"/>
        <v>26768</v>
      </c>
      <c r="W155" s="425"/>
      <c r="X155" s="425">
        <f t="shared" si="13"/>
        <v>26768</v>
      </c>
      <c r="Y155" s="425"/>
    </row>
    <row r="156" spans="1:25" ht="21.95" customHeight="1" x14ac:dyDescent="0.25">
      <c r="A156" s="41"/>
      <c r="B156" s="41"/>
      <c r="C156" s="150" t="str">
        <f t="shared" si="7"/>
        <v>PR_GUAYNABO</v>
      </c>
      <c r="D156" s="147" t="s">
        <v>69</v>
      </c>
      <c r="E156" s="408" t="s">
        <v>2467</v>
      </c>
      <c r="F156" s="408"/>
      <c r="G156" s="408"/>
      <c r="H156" s="424" t="s">
        <v>2348</v>
      </c>
      <c r="I156" s="424"/>
      <c r="J156" s="260">
        <v>31968</v>
      </c>
      <c r="K156" s="261"/>
      <c r="L156" s="425">
        <f t="shared" si="8"/>
        <v>31968</v>
      </c>
      <c r="M156" s="425"/>
      <c r="N156" s="260">
        <v>37296</v>
      </c>
      <c r="O156" s="261"/>
      <c r="P156" s="425">
        <f t="shared" si="9"/>
        <v>37296</v>
      </c>
      <c r="Q156" s="425"/>
      <c r="R156" s="425">
        <f t="shared" si="10"/>
        <v>37296</v>
      </c>
      <c r="S156" s="425"/>
      <c r="T156" s="425">
        <f t="shared" si="11"/>
        <v>37296</v>
      </c>
      <c r="U156" s="425"/>
      <c r="V156" s="425">
        <f t="shared" si="12"/>
        <v>37296</v>
      </c>
      <c r="W156" s="425"/>
      <c r="X156" s="425">
        <f t="shared" si="13"/>
        <v>37296</v>
      </c>
      <c r="Y156" s="425"/>
    </row>
    <row r="157" spans="1:25" ht="21.95" customHeight="1" x14ac:dyDescent="0.25">
      <c r="A157" s="41"/>
      <c r="B157" s="41"/>
      <c r="C157" s="150" t="str">
        <f t="shared" si="7"/>
        <v>PR_GURABO</v>
      </c>
      <c r="D157" s="147" t="s">
        <v>69</v>
      </c>
      <c r="E157" s="408" t="s">
        <v>2468</v>
      </c>
      <c r="F157" s="408"/>
      <c r="G157" s="408"/>
      <c r="H157" s="424" t="s">
        <v>2348</v>
      </c>
      <c r="I157" s="424"/>
      <c r="J157" s="260">
        <v>29760</v>
      </c>
      <c r="K157" s="261"/>
      <c r="L157" s="425">
        <f t="shared" si="8"/>
        <v>29760</v>
      </c>
      <c r="M157" s="425"/>
      <c r="N157" s="260">
        <v>34720</v>
      </c>
      <c r="O157" s="261"/>
      <c r="P157" s="425">
        <f t="shared" si="9"/>
        <v>34720</v>
      </c>
      <c r="Q157" s="425"/>
      <c r="R157" s="425">
        <f t="shared" si="10"/>
        <v>34720</v>
      </c>
      <c r="S157" s="425"/>
      <c r="T157" s="425">
        <f t="shared" si="11"/>
        <v>34720</v>
      </c>
      <c r="U157" s="425"/>
      <c r="V157" s="425">
        <f t="shared" si="12"/>
        <v>34720</v>
      </c>
      <c r="W157" s="425"/>
      <c r="X157" s="425">
        <f t="shared" si="13"/>
        <v>34720</v>
      </c>
      <c r="Y157" s="425"/>
    </row>
    <row r="158" spans="1:25" ht="21.95" customHeight="1" x14ac:dyDescent="0.25">
      <c r="A158" s="41"/>
      <c r="B158" s="41"/>
      <c r="C158" s="150" t="str">
        <f t="shared" si="7"/>
        <v>PR_HATILLO</v>
      </c>
      <c r="D158" s="147" t="s">
        <v>69</v>
      </c>
      <c r="E158" s="408" t="s">
        <v>2469</v>
      </c>
      <c r="F158" s="408"/>
      <c r="G158" s="408"/>
      <c r="H158" s="424" t="s">
        <v>2348</v>
      </c>
      <c r="I158" s="424"/>
      <c r="J158" s="260">
        <v>27072</v>
      </c>
      <c r="K158" s="261"/>
      <c r="L158" s="425">
        <f t="shared" si="8"/>
        <v>27072</v>
      </c>
      <c r="M158" s="425"/>
      <c r="N158" s="260">
        <v>31584</v>
      </c>
      <c r="O158" s="261"/>
      <c r="P158" s="425">
        <f t="shared" si="9"/>
        <v>31584</v>
      </c>
      <c r="Q158" s="425"/>
      <c r="R158" s="425">
        <f t="shared" si="10"/>
        <v>31584</v>
      </c>
      <c r="S158" s="425"/>
      <c r="T158" s="425">
        <f t="shared" si="11"/>
        <v>31584</v>
      </c>
      <c r="U158" s="425"/>
      <c r="V158" s="425">
        <f t="shared" si="12"/>
        <v>31584</v>
      </c>
      <c r="W158" s="425"/>
      <c r="X158" s="425">
        <f t="shared" si="13"/>
        <v>31584</v>
      </c>
      <c r="Y158" s="425"/>
    </row>
    <row r="159" spans="1:25" ht="21.95" customHeight="1" x14ac:dyDescent="0.25">
      <c r="A159" s="41"/>
      <c r="B159" s="41"/>
      <c r="C159" s="150" t="str">
        <f t="shared" si="7"/>
        <v>PR_HORMIGUEROS</v>
      </c>
      <c r="D159" s="147" t="s">
        <v>69</v>
      </c>
      <c r="E159" s="408" t="s">
        <v>2470</v>
      </c>
      <c r="F159" s="408"/>
      <c r="G159" s="408"/>
      <c r="H159" s="424" t="s">
        <v>2348</v>
      </c>
      <c r="I159" s="424"/>
      <c r="J159" s="260">
        <v>25440</v>
      </c>
      <c r="K159" s="261"/>
      <c r="L159" s="425">
        <f t="shared" si="8"/>
        <v>25440</v>
      </c>
      <c r="M159" s="425"/>
      <c r="N159" s="260">
        <v>29680</v>
      </c>
      <c r="O159" s="261"/>
      <c r="P159" s="425">
        <f t="shared" si="9"/>
        <v>29680</v>
      </c>
      <c r="Q159" s="425"/>
      <c r="R159" s="425">
        <f t="shared" si="10"/>
        <v>29680</v>
      </c>
      <c r="S159" s="425"/>
      <c r="T159" s="425">
        <f t="shared" si="11"/>
        <v>29680</v>
      </c>
      <c r="U159" s="425"/>
      <c r="V159" s="425">
        <f t="shared" si="12"/>
        <v>29680</v>
      </c>
      <c r="W159" s="425"/>
      <c r="X159" s="425">
        <f t="shared" si="13"/>
        <v>29680</v>
      </c>
      <c r="Y159" s="425"/>
    </row>
    <row r="160" spans="1:25" ht="21.95" customHeight="1" x14ac:dyDescent="0.25">
      <c r="A160" s="41"/>
      <c r="B160" s="41"/>
      <c r="C160" s="150" t="str">
        <f t="shared" si="7"/>
        <v>PR_HUMACAO</v>
      </c>
      <c r="D160" s="147" t="s">
        <v>69</v>
      </c>
      <c r="E160" s="408" t="s">
        <v>2471</v>
      </c>
      <c r="F160" s="408"/>
      <c r="G160" s="408"/>
      <c r="H160" s="424" t="s">
        <v>2348</v>
      </c>
      <c r="I160" s="424"/>
      <c r="J160" s="260">
        <v>31968</v>
      </c>
      <c r="K160" s="261"/>
      <c r="L160" s="425">
        <f t="shared" si="8"/>
        <v>31968</v>
      </c>
      <c r="M160" s="425"/>
      <c r="N160" s="260">
        <v>37296</v>
      </c>
      <c r="O160" s="261"/>
      <c r="P160" s="425">
        <f t="shared" si="9"/>
        <v>37296</v>
      </c>
      <c r="Q160" s="425"/>
      <c r="R160" s="425">
        <f t="shared" si="10"/>
        <v>37296</v>
      </c>
      <c r="S160" s="425"/>
      <c r="T160" s="425">
        <f t="shared" si="11"/>
        <v>37296</v>
      </c>
      <c r="U160" s="425"/>
      <c r="V160" s="425">
        <f t="shared" si="12"/>
        <v>37296</v>
      </c>
      <c r="W160" s="425"/>
      <c r="X160" s="425">
        <f t="shared" si="13"/>
        <v>37296</v>
      </c>
      <c r="Y160" s="425"/>
    </row>
    <row r="161" spans="1:25" ht="21.95" customHeight="1" x14ac:dyDescent="0.25">
      <c r="A161" s="41"/>
      <c r="B161" s="41"/>
      <c r="C161" s="150" t="str">
        <f t="shared" si="7"/>
        <v>PR_ISABELA</v>
      </c>
      <c r="D161" s="147" t="s">
        <v>69</v>
      </c>
      <c r="E161" s="408" t="s">
        <v>2472</v>
      </c>
      <c r="F161" s="408"/>
      <c r="G161" s="408"/>
      <c r="H161" s="424" t="s">
        <v>2348</v>
      </c>
      <c r="I161" s="424"/>
      <c r="J161" s="260">
        <v>24480</v>
      </c>
      <c r="K161" s="261"/>
      <c r="L161" s="425">
        <f t="shared" si="8"/>
        <v>24480</v>
      </c>
      <c r="M161" s="425"/>
      <c r="N161" s="260">
        <v>28560</v>
      </c>
      <c r="O161" s="261"/>
      <c r="P161" s="425">
        <f t="shared" si="9"/>
        <v>28560</v>
      </c>
      <c r="Q161" s="425"/>
      <c r="R161" s="425">
        <f t="shared" si="10"/>
        <v>28560</v>
      </c>
      <c r="S161" s="425"/>
      <c r="T161" s="425">
        <f t="shared" si="11"/>
        <v>28560</v>
      </c>
      <c r="U161" s="425"/>
      <c r="V161" s="425">
        <f t="shared" si="12"/>
        <v>28560</v>
      </c>
      <c r="W161" s="425"/>
      <c r="X161" s="425">
        <f t="shared" si="13"/>
        <v>28560</v>
      </c>
      <c r="Y161" s="425"/>
    </row>
    <row r="162" spans="1:25" ht="21.95" customHeight="1" x14ac:dyDescent="0.25">
      <c r="A162" s="41"/>
      <c r="B162" s="41"/>
      <c r="C162" s="150" t="str">
        <f t="shared" si="7"/>
        <v>PR_JAYUYA</v>
      </c>
      <c r="D162" s="147" t="s">
        <v>69</v>
      </c>
      <c r="E162" s="408" t="s">
        <v>2473</v>
      </c>
      <c r="F162" s="408"/>
      <c r="G162" s="408"/>
      <c r="H162" s="424" t="s">
        <v>2348</v>
      </c>
      <c r="I162" s="424"/>
      <c r="J162" s="260">
        <v>22656</v>
      </c>
      <c r="K162" s="261"/>
      <c r="L162" s="425">
        <f t="shared" si="8"/>
        <v>22656</v>
      </c>
      <c r="M162" s="425"/>
      <c r="N162" s="260">
        <v>26432</v>
      </c>
      <c r="O162" s="261"/>
      <c r="P162" s="425">
        <f t="shared" si="9"/>
        <v>26432</v>
      </c>
      <c r="Q162" s="425"/>
      <c r="R162" s="425">
        <f t="shared" si="10"/>
        <v>26432</v>
      </c>
      <c r="S162" s="425"/>
      <c r="T162" s="425">
        <f t="shared" si="11"/>
        <v>26432</v>
      </c>
      <c r="U162" s="425"/>
      <c r="V162" s="425">
        <f t="shared" si="12"/>
        <v>26432</v>
      </c>
      <c r="W162" s="425"/>
      <c r="X162" s="425">
        <f t="shared" si="13"/>
        <v>26432</v>
      </c>
      <c r="Y162" s="425"/>
    </row>
    <row r="163" spans="1:25" ht="21.95" customHeight="1" x14ac:dyDescent="0.25">
      <c r="A163" s="41"/>
      <c r="B163" s="41"/>
      <c r="C163" s="150" t="str">
        <f t="shared" si="7"/>
        <v>PR_JUANA DIAZ</v>
      </c>
      <c r="D163" s="147" t="s">
        <v>69</v>
      </c>
      <c r="E163" s="408" t="s">
        <v>2474</v>
      </c>
      <c r="F163" s="408"/>
      <c r="G163" s="408"/>
      <c r="H163" s="424" t="s">
        <v>2348</v>
      </c>
      <c r="I163" s="424"/>
      <c r="J163" s="260">
        <v>27456</v>
      </c>
      <c r="K163" s="261"/>
      <c r="L163" s="425">
        <f t="shared" si="8"/>
        <v>27456</v>
      </c>
      <c r="M163" s="425"/>
      <c r="N163" s="260">
        <v>32032</v>
      </c>
      <c r="O163" s="261"/>
      <c r="P163" s="425">
        <f t="shared" si="9"/>
        <v>32032</v>
      </c>
      <c r="Q163" s="425"/>
      <c r="R163" s="425">
        <f t="shared" si="10"/>
        <v>32032</v>
      </c>
      <c r="S163" s="425"/>
      <c r="T163" s="425">
        <f t="shared" si="11"/>
        <v>32032</v>
      </c>
      <c r="U163" s="425"/>
      <c r="V163" s="425">
        <f t="shared" si="12"/>
        <v>32032</v>
      </c>
      <c r="W163" s="425"/>
      <c r="X163" s="425">
        <f t="shared" si="13"/>
        <v>32032</v>
      </c>
      <c r="Y163" s="425"/>
    </row>
    <row r="164" spans="1:25" ht="21.95" customHeight="1" x14ac:dyDescent="0.25">
      <c r="A164" s="41"/>
      <c r="B164" s="41"/>
      <c r="C164" s="150" t="str">
        <f t="shared" si="7"/>
        <v>PR_JUNCOS</v>
      </c>
      <c r="D164" s="147" t="s">
        <v>69</v>
      </c>
      <c r="E164" s="408" t="s">
        <v>2475</v>
      </c>
      <c r="F164" s="408"/>
      <c r="G164" s="408"/>
      <c r="H164" s="424" t="s">
        <v>2348</v>
      </c>
      <c r="I164" s="424"/>
      <c r="J164" s="260">
        <v>31968</v>
      </c>
      <c r="K164" s="261"/>
      <c r="L164" s="425">
        <f t="shared" si="8"/>
        <v>31968</v>
      </c>
      <c r="M164" s="425"/>
      <c r="N164" s="260">
        <v>37296</v>
      </c>
      <c r="O164" s="261"/>
      <c r="P164" s="425">
        <f t="shared" si="9"/>
        <v>37296</v>
      </c>
      <c r="Q164" s="425"/>
      <c r="R164" s="425">
        <f t="shared" si="10"/>
        <v>37296</v>
      </c>
      <c r="S164" s="425"/>
      <c r="T164" s="425">
        <f t="shared" si="11"/>
        <v>37296</v>
      </c>
      <c r="U164" s="425"/>
      <c r="V164" s="425">
        <f t="shared" si="12"/>
        <v>37296</v>
      </c>
      <c r="W164" s="425"/>
      <c r="X164" s="425">
        <f t="shared" si="13"/>
        <v>37296</v>
      </c>
      <c r="Y164" s="425"/>
    </row>
    <row r="165" spans="1:25" ht="21.95" customHeight="1" x14ac:dyDescent="0.25">
      <c r="A165" s="41"/>
      <c r="B165" s="41"/>
      <c r="C165" s="150" t="str">
        <f t="shared" si="7"/>
        <v>PR_LAJAS</v>
      </c>
      <c r="D165" s="147" t="s">
        <v>69</v>
      </c>
      <c r="E165" s="408" t="s">
        <v>2476</v>
      </c>
      <c r="F165" s="408"/>
      <c r="G165" s="408"/>
      <c r="H165" s="424" t="s">
        <v>2348</v>
      </c>
      <c r="I165" s="424"/>
      <c r="J165" s="260">
        <v>22656</v>
      </c>
      <c r="K165" s="261"/>
      <c r="L165" s="425">
        <f t="shared" si="8"/>
        <v>22656</v>
      </c>
      <c r="M165" s="425"/>
      <c r="N165" s="260">
        <v>26432</v>
      </c>
      <c r="O165" s="261"/>
      <c r="P165" s="425">
        <f t="shared" si="9"/>
        <v>26432</v>
      </c>
      <c r="Q165" s="425"/>
      <c r="R165" s="425">
        <f t="shared" si="10"/>
        <v>26432</v>
      </c>
      <c r="S165" s="425"/>
      <c r="T165" s="425">
        <f t="shared" si="11"/>
        <v>26432</v>
      </c>
      <c r="U165" s="425"/>
      <c r="V165" s="425">
        <f t="shared" si="12"/>
        <v>26432</v>
      </c>
      <c r="W165" s="425"/>
      <c r="X165" s="425">
        <f t="shared" si="13"/>
        <v>26432</v>
      </c>
      <c r="Y165" s="425"/>
    </row>
    <row r="166" spans="1:25" ht="21.95" customHeight="1" x14ac:dyDescent="0.25">
      <c r="A166" s="41"/>
      <c r="B166" s="41"/>
      <c r="C166" s="150" t="str">
        <f t="shared" si="7"/>
        <v>PR_LARES</v>
      </c>
      <c r="D166" s="147" t="s">
        <v>69</v>
      </c>
      <c r="E166" s="408" t="s">
        <v>2477</v>
      </c>
      <c r="F166" s="408"/>
      <c r="G166" s="408"/>
      <c r="H166" s="424" t="s">
        <v>2348</v>
      </c>
      <c r="I166" s="424"/>
      <c r="J166" s="260">
        <v>24480</v>
      </c>
      <c r="K166" s="261"/>
      <c r="L166" s="425">
        <f t="shared" si="8"/>
        <v>24480</v>
      </c>
      <c r="M166" s="425"/>
      <c r="N166" s="260">
        <v>28560</v>
      </c>
      <c r="O166" s="261"/>
      <c r="P166" s="425">
        <f t="shared" si="9"/>
        <v>28560</v>
      </c>
      <c r="Q166" s="425"/>
      <c r="R166" s="425">
        <f t="shared" si="10"/>
        <v>28560</v>
      </c>
      <c r="S166" s="425"/>
      <c r="T166" s="425">
        <f t="shared" si="11"/>
        <v>28560</v>
      </c>
      <c r="U166" s="425"/>
      <c r="V166" s="425">
        <f t="shared" si="12"/>
        <v>28560</v>
      </c>
      <c r="W166" s="425"/>
      <c r="X166" s="425">
        <f t="shared" si="13"/>
        <v>28560</v>
      </c>
      <c r="Y166" s="425"/>
    </row>
    <row r="167" spans="1:25" ht="21.95" customHeight="1" x14ac:dyDescent="0.25">
      <c r="A167" s="41"/>
      <c r="B167" s="41"/>
      <c r="C167" s="150" t="str">
        <f t="shared" si="7"/>
        <v>PR_LAS MARIAS</v>
      </c>
      <c r="D167" s="147" t="s">
        <v>69</v>
      </c>
      <c r="E167" s="408" t="s">
        <v>2478</v>
      </c>
      <c r="F167" s="408"/>
      <c r="G167" s="408"/>
      <c r="H167" s="424" t="s">
        <v>2348</v>
      </c>
      <c r="I167" s="424"/>
      <c r="J167" s="260">
        <v>22656</v>
      </c>
      <c r="K167" s="261"/>
      <c r="L167" s="425">
        <f t="shared" si="8"/>
        <v>22656</v>
      </c>
      <c r="M167" s="425"/>
      <c r="N167" s="260">
        <v>26432</v>
      </c>
      <c r="O167" s="261"/>
      <c r="P167" s="425">
        <f t="shared" si="9"/>
        <v>26432</v>
      </c>
      <c r="Q167" s="425"/>
      <c r="R167" s="425">
        <f t="shared" si="10"/>
        <v>26432</v>
      </c>
      <c r="S167" s="425"/>
      <c r="T167" s="425">
        <f t="shared" si="11"/>
        <v>26432</v>
      </c>
      <c r="U167" s="425"/>
      <c r="V167" s="425">
        <f t="shared" si="12"/>
        <v>26432</v>
      </c>
      <c r="W167" s="425"/>
      <c r="X167" s="425">
        <f t="shared" si="13"/>
        <v>26432</v>
      </c>
      <c r="Y167" s="425"/>
    </row>
    <row r="168" spans="1:25" ht="21.95" customHeight="1" x14ac:dyDescent="0.25">
      <c r="A168" s="41"/>
      <c r="B168" s="41"/>
      <c r="C168" s="150" t="str">
        <f t="shared" si="7"/>
        <v>PR_LAS PIEDRAS</v>
      </c>
      <c r="D168" s="147" t="s">
        <v>69</v>
      </c>
      <c r="E168" s="408" t="s">
        <v>2479</v>
      </c>
      <c r="F168" s="408"/>
      <c r="G168" s="408"/>
      <c r="H168" s="424" t="s">
        <v>2348</v>
      </c>
      <c r="I168" s="424"/>
      <c r="J168" s="260">
        <v>31968</v>
      </c>
      <c r="K168" s="261"/>
      <c r="L168" s="425">
        <f t="shared" si="8"/>
        <v>31968</v>
      </c>
      <c r="M168" s="425"/>
      <c r="N168" s="260">
        <v>37296</v>
      </c>
      <c r="O168" s="261"/>
      <c r="P168" s="425">
        <f t="shared" si="9"/>
        <v>37296</v>
      </c>
      <c r="Q168" s="425"/>
      <c r="R168" s="425">
        <f t="shared" si="10"/>
        <v>37296</v>
      </c>
      <c r="S168" s="425"/>
      <c r="T168" s="425">
        <f t="shared" si="11"/>
        <v>37296</v>
      </c>
      <c r="U168" s="425"/>
      <c r="V168" s="425">
        <f t="shared" si="12"/>
        <v>37296</v>
      </c>
      <c r="W168" s="425"/>
      <c r="X168" s="425">
        <f t="shared" si="13"/>
        <v>37296</v>
      </c>
      <c r="Y168" s="425"/>
    </row>
    <row r="169" spans="1:25" ht="21.95" customHeight="1" x14ac:dyDescent="0.25">
      <c r="A169" s="41"/>
      <c r="B169" s="41"/>
      <c r="C169" s="150" t="str">
        <f t="shared" si="7"/>
        <v>PR_LOIZA</v>
      </c>
      <c r="D169" s="147" t="s">
        <v>69</v>
      </c>
      <c r="E169" s="408" t="s">
        <v>2480</v>
      </c>
      <c r="F169" s="408"/>
      <c r="G169" s="408"/>
      <c r="H169" s="424" t="s">
        <v>2348</v>
      </c>
      <c r="I169" s="424"/>
      <c r="J169" s="260">
        <v>31968</v>
      </c>
      <c r="K169" s="261"/>
      <c r="L169" s="425">
        <f t="shared" si="8"/>
        <v>31968</v>
      </c>
      <c r="M169" s="425"/>
      <c r="N169" s="260">
        <v>37296</v>
      </c>
      <c r="O169" s="261"/>
      <c r="P169" s="425">
        <f t="shared" si="9"/>
        <v>37296</v>
      </c>
      <c r="Q169" s="425"/>
      <c r="R169" s="425">
        <f t="shared" si="10"/>
        <v>37296</v>
      </c>
      <c r="S169" s="425"/>
      <c r="T169" s="425">
        <f t="shared" si="11"/>
        <v>37296</v>
      </c>
      <c r="U169" s="425"/>
      <c r="V169" s="425">
        <f t="shared" si="12"/>
        <v>37296</v>
      </c>
      <c r="W169" s="425"/>
      <c r="X169" s="425">
        <f t="shared" si="13"/>
        <v>37296</v>
      </c>
      <c r="Y169" s="425"/>
    </row>
    <row r="170" spans="1:25" ht="21.95" customHeight="1" x14ac:dyDescent="0.25">
      <c r="A170" s="41"/>
      <c r="B170" s="41"/>
      <c r="C170" s="150" t="str">
        <f t="shared" si="7"/>
        <v>PR_LUQUILLO</v>
      </c>
      <c r="D170" s="147" t="s">
        <v>69</v>
      </c>
      <c r="E170" s="408" t="s">
        <v>2481</v>
      </c>
      <c r="F170" s="408"/>
      <c r="G170" s="408"/>
      <c r="H170" s="424" t="s">
        <v>2348</v>
      </c>
      <c r="I170" s="424"/>
      <c r="J170" s="260">
        <v>29088</v>
      </c>
      <c r="K170" s="261"/>
      <c r="L170" s="425">
        <f t="shared" si="8"/>
        <v>29088</v>
      </c>
      <c r="M170" s="425"/>
      <c r="N170" s="260">
        <v>33936</v>
      </c>
      <c r="O170" s="261"/>
      <c r="P170" s="425">
        <f t="shared" si="9"/>
        <v>33936</v>
      </c>
      <c r="Q170" s="425"/>
      <c r="R170" s="425">
        <f t="shared" si="10"/>
        <v>33936</v>
      </c>
      <c r="S170" s="425"/>
      <c r="T170" s="425">
        <f t="shared" si="11"/>
        <v>33936</v>
      </c>
      <c r="U170" s="425"/>
      <c r="V170" s="425">
        <f t="shared" si="12"/>
        <v>33936</v>
      </c>
      <c r="W170" s="425"/>
      <c r="X170" s="425">
        <f t="shared" si="13"/>
        <v>33936</v>
      </c>
      <c r="Y170" s="425"/>
    </row>
    <row r="171" spans="1:25" ht="21.95" customHeight="1" x14ac:dyDescent="0.25">
      <c r="A171" s="41"/>
      <c r="B171" s="41"/>
      <c r="C171" s="150" t="str">
        <f t="shared" ref="C171:C205" si="14">TRIM(UPPER(D171))&amp;"_"&amp;TRIM(UPPER(E171))</f>
        <v>PR_MANATI</v>
      </c>
      <c r="D171" s="147" t="s">
        <v>69</v>
      </c>
      <c r="E171" s="408" t="s">
        <v>2119</v>
      </c>
      <c r="F171" s="408"/>
      <c r="G171" s="408"/>
      <c r="H171" s="424" t="s">
        <v>2348</v>
      </c>
      <c r="I171" s="424"/>
      <c r="J171" s="260">
        <v>31968</v>
      </c>
      <c r="K171" s="261"/>
      <c r="L171" s="425">
        <f t="shared" ref="L171:L202" si="15">J171</f>
        <v>31968</v>
      </c>
      <c r="M171" s="425"/>
      <c r="N171" s="260">
        <v>37296</v>
      </c>
      <c r="O171" s="261"/>
      <c r="P171" s="425">
        <f t="shared" ref="P171:P202" si="16">N171</f>
        <v>37296</v>
      </c>
      <c r="Q171" s="425"/>
      <c r="R171" s="425">
        <f t="shared" ref="R171:R202" si="17">P171</f>
        <v>37296</v>
      </c>
      <c r="S171" s="425"/>
      <c r="T171" s="425">
        <f t="shared" ref="T171:T202" si="18">R171</f>
        <v>37296</v>
      </c>
      <c r="U171" s="425"/>
      <c r="V171" s="425">
        <f t="shared" ref="V171:V202" si="19">T171</f>
        <v>37296</v>
      </c>
      <c r="W171" s="425"/>
      <c r="X171" s="425">
        <f t="shared" ref="X171:X202" si="20">V171</f>
        <v>37296</v>
      </c>
      <c r="Y171" s="425"/>
    </row>
    <row r="172" spans="1:25" ht="21.95" customHeight="1" x14ac:dyDescent="0.25">
      <c r="A172" s="41"/>
      <c r="B172" s="41"/>
      <c r="C172" s="150" t="str">
        <f t="shared" si="14"/>
        <v>PR_MARICAO</v>
      </c>
      <c r="D172" s="147" t="s">
        <v>69</v>
      </c>
      <c r="E172" s="408" t="s">
        <v>2482</v>
      </c>
      <c r="F172" s="408"/>
      <c r="G172" s="408"/>
      <c r="H172" s="424" t="s">
        <v>2348</v>
      </c>
      <c r="I172" s="424"/>
      <c r="J172" s="260">
        <v>22656</v>
      </c>
      <c r="K172" s="261"/>
      <c r="L172" s="425">
        <f t="shared" si="15"/>
        <v>22656</v>
      </c>
      <c r="M172" s="425"/>
      <c r="N172" s="260">
        <v>26432</v>
      </c>
      <c r="O172" s="261"/>
      <c r="P172" s="425">
        <f t="shared" si="16"/>
        <v>26432</v>
      </c>
      <c r="Q172" s="425"/>
      <c r="R172" s="425">
        <f t="shared" si="17"/>
        <v>26432</v>
      </c>
      <c r="S172" s="425"/>
      <c r="T172" s="425">
        <f t="shared" si="18"/>
        <v>26432</v>
      </c>
      <c r="U172" s="425"/>
      <c r="V172" s="425">
        <f t="shared" si="19"/>
        <v>26432</v>
      </c>
      <c r="W172" s="425"/>
      <c r="X172" s="425">
        <f t="shared" si="20"/>
        <v>26432</v>
      </c>
      <c r="Y172" s="425"/>
    </row>
    <row r="173" spans="1:25" ht="21.95" customHeight="1" x14ac:dyDescent="0.25">
      <c r="A173" s="41"/>
      <c r="B173" s="41"/>
      <c r="C173" s="150" t="str">
        <f t="shared" si="14"/>
        <v>PR_MAUNABO</v>
      </c>
      <c r="D173" s="147" t="s">
        <v>69</v>
      </c>
      <c r="E173" s="408" t="s">
        <v>2483</v>
      </c>
      <c r="F173" s="408"/>
      <c r="G173" s="408"/>
      <c r="H173" s="424" t="s">
        <v>2348</v>
      </c>
      <c r="I173" s="424"/>
      <c r="J173" s="260">
        <v>22848</v>
      </c>
      <c r="K173" s="261"/>
      <c r="L173" s="425">
        <f t="shared" si="15"/>
        <v>22848</v>
      </c>
      <c r="M173" s="425"/>
      <c r="N173" s="260">
        <v>26656</v>
      </c>
      <c r="O173" s="261"/>
      <c r="P173" s="425">
        <f t="shared" si="16"/>
        <v>26656</v>
      </c>
      <c r="Q173" s="425"/>
      <c r="R173" s="425">
        <f t="shared" si="17"/>
        <v>26656</v>
      </c>
      <c r="S173" s="425"/>
      <c r="T173" s="425">
        <f t="shared" si="18"/>
        <v>26656</v>
      </c>
      <c r="U173" s="425"/>
      <c r="V173" s="425">
        <f t="shared" si="19"/>
        <v>26656</v>
      </c>
      <c r="W173" s="425"/>
      <c r="X173" s="425">
        <f t="shared" si="20"/>
        <v>26656</v>
      </c>
      <c r="Y173" s="425"/>
    </row>
    <row r="174" spans="1:25" ht="21.95" customHeight="1" x14ac:dyDescent="0.25">
      <c r="A174" s="41"/>
      <c r="B174" s="41"/>
      <c r="C174" s="150" t="str">
        <f t="shared" si="14"/>
        <v>PR_MAYAGUEZ</v>
      </c>
      <c r="D174" s="147" t="s">
        <v>69</v>
      </c>
      <c r="E174" s="408" t="s">
        <v>2484</v>
      </c>
      <c r="F174" s="408"/>
      <c r="G174" s="408"/>
      <c r="H174" s="424" t="s">
        <v>2348</v>
      </c>
      <c r="I174" s="424"/>
      <c r="J174" s="260">
        <v>25440</v>
      </c>
      <c r="K174" s="261"/>
      <c r="L174" s="425">
        <f t="shared" si="15"/>
        <v>25440</v>
      </c>
      <c r="M174" s="425"/>
      <c r="N174" s="260">
        <v>29680</v>
      </c>
      <c r="O174" s="261"/>
      <c r="P174" s="425">
        <f t="shared" si="16"/>
        <v>29680</v>
      </c>
      <c r="Q174" s="425"/>
      <c r="R174" s="425">
        <f t="shared" si="17"/>
        <v>29680</v>
      </c>
      <c r="S174" s="425"/>
      <c r="T174" s="425">
        <f t="shared" si="18"/>
        <v>29680</v>
      </c>
      <c r="U174" s="425"/>
      <c r="V174" s="425">
        <f t="shared" si="19"/>
        <v>29680</v>
      </c>
      <c r="W174" s="425"/>
      <c r="X174" s="425">
        <f t="shared" si="20"/>
        <v>29680</v>
      </c>
      <c r="Y174" s="425"/>
    </row>
    <row r="175" spans="1:25" ht="21.95" customHeight="1" x14ac:dyDescent="0.25">
      <c r="A175" s="41"/>
      <c r="B175" s="41"/>
      <c r="C175" s="150" t="str">
        <f t="shared" si="14"/>
        <v>PR_MOCA</v>
      </c>
      <c r="D175" s="147" t="s">
        <v>69</v>
      </c>
      <c r="E175" s="408" t="s">
        <v>2485</v>
      </c>
      <c r="F175" s="408"/>
      <c r="G175" s="408"/>
      <c r="H175" s="424" t="s">
        <v>2348</v>
      </c>
      <c r="I175" s="424"/>
      <c r="J175" s="260">
        <v>24480</v>
      </c>
      <c r="K175" s="261"/>
      <c r="L175" s="425">
        <f t="shared" si="15"/>
        <v>24480</v>
      </c>
      <c r="M175" s="425"/>
      <c r="N175" s="260">
        <v>28560</v>
      </c>
      <c r="O175" s="261"/>
      <c r="P175" s="425">
        <f t="shared" si="16"/>
        <v>28560</v>
      </c>
      <c r="Q175" s="425"/>
      <c r="R175" s="425">
        <f t="shared" si="17"/>
        <v>28560</v>
      </c>
      <c r="S175" s="425"/>
      <c r="T175" s="425">
        <f t="shared" si="18"/>
        <v>28560</v>
      </c>
      <c r="U175" s="425"/>
      <c r="V175" s="425">
        <f t="shared" si="19"/>
        <v>28560</v>
      </c>
      <c r="W175" s="425"/>
      <c r="X175" s="425">
        <f t="shared" si="20"/>
        <v>28560</v>
      </c>
      <c r="Y175" s="425"/>
    </row>
    <row r="176" spans="1:25" ht="21.95" customHeight="1" x14ac:dyDescent="0.25">
      <c r="A176" s="41"/>
      <c r="B176" s="41"/>
      <c r="C176" s="150" t="str">
        <f t="shared" si="14"/>
        <v>PR_MOROVIS</v>
      </c>
      <c r="D176" s="147" t="s">
        <v>69</v>
      </c>
      <c r="E176" s="408" t="s">
        <v>2486</v>
      </c>
      <c r="F176" s="408"/>
      <c r="G176" s="408"/>
      <c r="H176" s="424" t="s">
        <v>2348</v>
      </c>
      <c r="I176" s="424"/>
      <c r="J176" s="260">
        <v>31968</v>
      </c>
      <c r="K176" s="261"/>
      <c r="L176" s="425">
        <f t="shared" si="15"/>
        <v>31968</v>
      </c>
      <c r="M176" s="425"/>
      <c r="N176" s="260">
        <v>37296</v>
      </c>
      <c r="O176" s="261"/>
      <c r="P176" s="425">
        <f t="shared" si="16"/>
        <v>37296</v>
      </c>
      <c r="Q176" s="425"/>
      <c r="R176" s="425">
        <f t="shared" si="17"/>
        <v>37296</v>
      </c>
      <c r="S176" s="425"/>
      <c r="T176" s="425">
        <f t="shared" si="18"/>
        <v>37296</v>
      </c>
      <c r="U176" s="425"/>
      <c r="V176" s="425">
        <f t="shared" si="19"/>
        <v>37296</v>
      </c>
      <c r="W176" s="425"/>
      <c r="X176" s="425">
        <f t="shared" si="20"/>
        <v>37296</v>
      </c>
      <c r="Y176" s="425"/>
    </row>
    <row r="177" spans="1:25" ht="21.95" customHeight="1" x14ac:dyDescent="0.25">
      <c r="A177" s="41"/>
      <c r="B177" s="41"/>
      <c r="C177" s="150" t="str">
        <f t="shared" si="14"/>
        <v>PR_NAGUABO</v>
      </c>
      <c r="D177" s="147" t="s">
        <v>69</v>
      </c>
      <c r="E177" s="408" t="s">
        <v>2487</v>
      </c>
      <c r="F177" s="408"/>
      <c r="G177" s="408"/>
      <c r="H177" s="424" t="s">
        <v>2348</v>
      </c>
      <c r="I177" s="424"/>
      <c r="J177" s="260">
        <v>31968</v>
      </c>
      <c r="K177" s="261"/>
      <c r="L177" s="425">
        <f t="shared" si="15"/>
        <v>31968</v>
      </c>
      <c r="M177" s="425"/>
      <c r="N177" s="260">
        <v>37296</v>
      </c>
      <c r="O177" s="261"/>
      <c r="P177" s="425">
        <f t="shared" si="16"/>
        <v>37296</v>
      </c>
      <c r="Q177" s="425"/>
      <c r="R177" s="425">
        <f t="shared" si="17"/>
        <v>37296</v>
      </c>
      <c r="S177" s="425"/>
      <c r="T177" s="425">
        <f t="shared" si="18"/>
        <v>37296</v>
      </c>
      <c r="U177" s="425"/>
      <c r="V177" s="425">
        <f t="shared" si="19"/>
        <v>37296</v>
      </c>
      <c r="W177" s="425"/>
      <c r="X177" s="425">
        <f t="shared" si="20"/>
        <v>37296</v>
      </c>
      <c r="Y177" s="425"/>
    </row>
    <row r="178" spans="1:25" ht="21.95" customHeight="1" x14ac:dyDescent="0.25">
      <c r="A178" s="41"/>
      <c r="B178" s="41"/>
      <c r="C178" s="150" t="str">
        <f t="shared" si="14"/>
        <v>PR_NARANJITO</v>
      </c>
      <c r="D178" s="147" t="s">
        <v>69</v>
      </c>
      <c r="E178" s="408" t="s">
        <v>2488</v>
      </c>
      <c r="F178" s="408"/>
      <c r="G178" s="408"/>
      <c r="H178" s="424" t="s">
        <v>2348</v>
      </c>
      <c r="I178" s="424"/>
      <c r="J178" s="260">
        <v>31968</v>
      </c>
      <c r="K178" s="261"/>
      <c r="L178" s="425">
        <f t="shared" si="15"/>
        <v>31968</v>
      </c>
      <c r="M178" s="425"/>
      <c r="N178" s="260">
        <v>37296</v>
      </c>
      <c r="O178" s="261"/>
      <c r="P178" s="425">
        <f t="shared" si="16"/>
        <v>37296</v>
      </c>
      <c r="Q178" s="425"/>
      <c r="R178" s="425">
        <f t="shared" si="17"/>
        <v>37296</v>
      </c>
      <c r="S178" s="425"/>
      <c r="T178" s="425">
        <f t="shared" si="18"/>
        <v>37296</v>
      </c>
      <c r="U178" s="425"/>
      <c r="V178" s="425">
        <f t="shared" si="19"/>
        <v>37296</v>
      </c>
      <c r="W178" s="425"/>
      <c r="X178" s="425">
        <f t="shared" si="20"/>
        <v>37296</v>
      </c>
      <c r="Y178" s="425"/>
    </row>
    <row r="179" spans="1:25" ht="21.95" customHeight="1" x14ac:dyDescent="0.25">
      <c r="A179" s="41"/>
      <c r="B179" s="41"/>
      <c r="C179" s="150" t="str">
        <f t="shared" si="14"/>
        <v>PR_OROCOVIS</v>
      </c>
      <c r="D179" s="147" t="s">
        <v>69</v>
      </c>
      <c r="E179" s="408" t="s">
        <v>2489</v>
      </c>
      <c r="F179" s="408"/>
      <c r="G179" s="408"/>
      <c r="H179" s="424" t="s">
        <v>2348</v>
      </c>
      <c r="I179" s="424"/>
      <c r="J179" s="260">
        <v>22848</v>
      </c>
      <c r="K179" s="261"/>
      <c r="L179" s="425">
        <f t="shared" si="15"/>
        <v>22848</v>
      </c>
      <c r="M179" s="425"/>
      <c r="N179" s="260">
        <v>26656</v>
      </c>
      <c r="O179" s="261"/>
      <c r="P179" s="425">
        <f t="shared" si="16"/>
        <v>26656</v>
      </c>
      <c r="Q179" s="425"/>
      <c r="R179" s="425">
        <f t="shared" si="17"/>
        <v>26656</v>
      </c>
      <c r="S179" s="425"/>
      <c r="T179" s="425">
        <f t="shared" si="18"/>
        <v>26656</v>
      </c>
      <c r="U179" s="425"/>
      <c r="V179" s="425">
        <f t="shared" si="19"/>
        <v>26656</v>
      </c>
      <c r="W179" s="425"/>
      <c r="X179" s="425">
        <f t="shared" si="20"/>
        <v>26656</v>
      </c>
      <c r="Y179" s="425"/>
    </row>
    <row r="180" spans="1:25" ht="21.95" customHeight="1" x14ac:dyDescent="0.25">
      <c r="A180" s="41"/>
      <c r="B180" s="41"/>
      <c r="C180" s="150" t="str">
        <f t="shared" si="14"/>
        <v>PR_PATILLAS</v>
      </c>
      <c r="D180" s="147" t="s">
        <v>69</v>
      </c>
      <c r="E180" s="408" t="s">
        <v>2490</v>
      </c>
      <c r="F180" s="408"/>
      <c r="G180" s="408"/>
      <c r="H180" s="424" t="s">
        <v>2348</v>
      </c>
      <c r="I180" s="424"/>
      <c r="J180" s="260">
        <v>28512</v>
      </c>
      <c r="K180" s="261"/>
      <c r="L180" s="425">
        <f t="shared" si="15"/>
        <v>28512</v>
      </c>
      <c r="M180" s="425"/>
      <c r="N180" s="260">
        <v>33264</v>
      </c>
      <c r="O180" s="261"/>
      <c r="P180" s="425">
        <f t="shared" si="16"/>
        <v>33264</v>
      </c>
      <c r="Q180" s="425"/>
      <c r="R180" s="425">
        <f t="shared" si="17"/>
        <v>33264</v>
      </c>
      <c r="S180" s="425"/>
      <c r="T180" s="425">
        <f t="shared" si="18"/>
        <v>33264</v>
      </c>
      <c r="U180" s="425"/>
      <c r="V180" s="425">
        <f t="shared" si="19"/>
        <v>33264</v>
      </c>
      <c r="W180" s="425"/>
      <c r="X180" s="425">
        <f t="shared" si="20"/>
        <v>33264</v>
      </c>
      <c r="Y180" s="425"/>
    </row>
    <row r="181" spans="1:25" ht="21.95" customHeight="1" x14ac:dyDescent="0.25">
      <c r="A181" s="41"/>
      <c r="B181" s="41"/>
      <c r="C181" s="150" t="str">
        <f t="shared" si="14"/>
        <v>PR_PENUELAS</v>
      </c>
      <c r="D181" s="147" t="s">
        <v>69</v>
      </c>
      <c r="E181" s="408" t="s">
        <v>2491</v>
      </c>
      <c r="F181" s="408"/>
      <c r="G181" s="408"/>
      <c r="H181" s="424" t="s">
        <v>2348</v>
      </c>
      <c r="I181" s="424"/>
      <c r="J181" s="260">
        <v>22944</v>
      </c>
      <c r="K181" s="261"/>
      <c r="L181" s="425">
        <f t="shared" si="15"/>
        <v>22944</v>
      </c>
      <c r="M181" s="425"/>
      <c r="N181" s="260">
        <v>26768</v>
      </c>
      <c r="O181" s="261"/>
      <c r="P181" s="425">
        <f t="shared" si="16"/>
        <v>26768</v>
      </c>
      <c r="Q181" s="425"/>
      <c r="R181" s="425">
        <f t="shared" si="17"/>
        <v>26768</v>
      </c>
      <c r="S181" s="425"/>
      <c r="T181" s="425">
        <f t="shared" si="18"/>
        <v>26768</v>
      </c>
      <c r="U181" s="425"/>
      <c r="V181" s="425">
        <f t="shared" si="19"/>
        <v>26768</v>
      </c>
      <c r="W181" s="425"/>
      <c r="X181" s="425">
        <f t="shared" si="20"/>
        <v>26768</v>
      </c>
      <c r="Y181" s="425"/>
    </row>
    <row r="182" spans="1:25" ht="21.95" customHeight="1" x14ac:dyDescent="0.25">
      <c r="A182" s="41"/>
      <c r="B182" s="41"/>
      <c r="C182" s="150" t="str">
        <f t="shared" si="14"/>
        <v>PR_PONCE</v>
      </c>
      <c r="D182" s="147" t="s">
        <v>69</v>
      </c>
      <c r="E182" s="408" t="s">
        <v>2492</v>
      </c>
      <c r="F182" s="408"/>
      <c r="G182" s="408"/>
      <c r="H182" s="424" t="s">
        <v>2348</v>
      </c>
      <c r="I182" s="424"/>
      <c r="J182" s="260">
        <v>27456</v>
      </c>
      <c r="K182" s="261"/>
      <c r="L182" s="425">
        <f t="shared" si="15"/>
        <v>27456</v>
      </c>
      <c r="M182" s="425"/>
      <c r="N182" s="260">
        <v>32032</v>
      </c>
      <c r="O182" s="261"/>
      <c r="P182" s="425">
        <f t="shared" si="16"/>
        <v>32032</v>
      </c>
      <c r="Q182" s="425"/>
      <c r="R182" s="425">
        <f t="shared" si="17"/>
        <v>32032</v>
      </c>
      <c r="S182" s="425"/>
      <c r="T182" s="425">
        <f t="shared" si="18"/>
        <v>32032</v>
      </c>
      <c r="U182" s="425"/>
      <c r="V182" s="425">
        <f t="shared" si="19"/>
        <v>32032</v>
      </c>
      <c r="W182" s="425"/>
      <c r="X182" s="425">
        <f t="shared" si="20"/>
        <v>32032</v>
      </c>
      <c r="Y182" s="425"/>
    </row>
    <row r="183" spans="1:25" ht="21.95" customHeight="1" x14ac:dyDescent="0.25">
      <c r="A183" s="41"/>
      <c r="B183" s="41"/>
      <c r="C183" s="150" t="str">
        <f t="shared" si="14"/>
        <v>PR_QUEBRADILLAS</v>
      </c>
      <c r="D183" s="147" t="s">
        <v>69</v>
      </c>
      <c r="E183" s="408" t="s">
        <v>2493</v>
      </c>
      <c r="F183" s="408"/>
      <c r="G183" s="408"/>
      <c r="H183" s="424" t="s">
        <v>2348</v>
      </c>
      <c r="I183" s="424"/>
      <c r="J183" s="260">
        <v>22848</v>
      </c>
      <c r="K183" s="261"/>
      <c r="L183" s="425">
        <f t="shared" si="15"/>
        <v>22848</v>
      </c>
      <c r="M183" s="425"/>
      <c r="N183" s="260">
        <v>26656</v>
      </c>
      <c r="O183" s="261"/>
      <c r="P183" s="425">
        <f t="shared" si="16"/>
        <v>26656</v>
      </c>
      <c r="Q183" s="425"/>
      <c r="R183" s="425">
        <f t="shared" si="17"/>
        <v>26656</v>
      </c>
      <c r="S183" s="425"/>
      <c r="T183" s="425">
        <f t="shared" si="18"/>
        <v>26656</v>
      </c>
      <c r="U183" s="425"/>
      <c r="V183" s="425">
        <f t="shared" si="19"/>
        <v>26656</v>
      </c>
      <c r="W183" s="425"/>
      <c r="X183" s="425">
        <f t="shared" si="20"/>
        <v>26656</v>
      </c>
      <c r="Y183" s="425"/>
    </row>
    <row r="184" spans="1:25" ht="21.95" customHeight="1" x14ac:dyDescent="0.25">
      <c r="A184" s="41"/>
      <c r="B184" s="41"/>
      <c r="C184" s="150" t="str">
        <f t="shared" si="14"/>
        <v>PR_RINCON</v>
      </c>
      <c r="D184" s="147" t="s">
        <v>69</v>
      </c>
      <c r="E184" s="408" t="s">
        <v>2494</v>
      </c>
      <c r="F184" s="408"/>
      <c r="G184" s="408"/>
      <c r="H184" s="424" t="s">
        <v>2348</v>
      </c>
      <c r="I184" s="424"/>
      <c r="J184" s="260">
        <v>24480</v>
      </c>
      <c r="K184" s="261"/>
      <c r="L184" s="425">
        <f t="shared" si="15"/>
        <v>24480</v>
      </c>
      <c r="M184" s="425"/>
      <c r="N184" s="260">
        <v>28560</v>
      </c>
      <c r="O184" s="261"/>
      <c r="P184" s="425">
        <f t="shared" si="16"/>
        <v>28560</v>
      </c>
      <c r="Q184" s="425"/>
      <c r="R184" s="425">
        <f t="shared" si="17"/>
        <v>28560</v>
      </c>
      <c r="S184" s="425"/>
      <c r="T184" s="425">
        <f t="shared" si="18"/>
        <v>28560</v>
      </c>
      <c r="U184" s="425"/>
      <c r="V184" s="425">
        <f t="shared" si="19"/>
        <v>28560</v>
      </c>
      <c r="W184" s="425"/>
      <c r="X184" s="425">
        <f t="shared" si="20"/>
        <v>28560</v>
      </c>
      <c r="Y184" s="425"/>
    </row>
    <row r="185" spans="1:25" ht="21.95" customHeight="1" x14ac:dyDescent="0.25">
      <c r="A185" s="41"/>
      <c r="B185" s="41"/>
      <c r="C185" s="150" t="str">
        <f t="shared" si="14"/>
        <v>PR_RIO GRANDE</v>
      </c>
      <c r="D185" s="147" t="s">
        <v>69</v>
      </c>
      <c r="E185" s="408" t="s">
        <v>2495</v>
      </c>
      <c r="F185" s="408"/>
      <c r="G185" s="408"/>
      <c r="H185" s="424" t="s">
        <v>2348</v>
      </c>
      <c r="I185" s="424"/>
      <c r="J185" s="260">
        <v>31968</v>
      </c>
      <c r="K185" s="261"/>
      <c r="L185" s="425">
        <f t="shared" si="15"/>
        <v>31968</v>
      </c>
      <c r="M185" s="425"/>
      <c r="N185" s="260">
        <v>37296</v>
      </c>
      <c r="O185" s="261"/>
      <c r="P185" s="425">
        <f t="shared" si="16"/>
        <v>37296</v>
      </c>
      <c r="Q185" s="425"/>
      <c r="R185" s="425">
        <f t="shared" si="17"/>
        <v>37296</v>
      </c>
      <c r="S185" s="425"/>
      <c r="T185" s="425">
        <f t="shared" si="18"/>
        <v>37296</v>
      </c>
      <c r="U185" s="425"/>
      <c r="V185" s="425">
        <f t="shared" si="19"/>
        <v>37296</v>
      </c>
      <c r="W185" s="425"/>
      <c r="X185" s="425">
        <f t="shared" si="20"/>
        <v>37296</v>
      </c>
      <c r="Y185" s="425"/>
    </row>
    <row r="186" spans="1:25" ht="21.95" customHeight="1" x14ac:dyDescent="0.25">
      <c r="A186" s="41"/>
      <c r="B186" s="41"/>
      <c r="C186" s="150" t="str">
        <f t="shared" si="14"/>
        <v>PR_SABANA GRANDE</v>
      </c>
      <c r="D186" s="147" t="s">
        <v>69</v>
      </c>
      <c r="E186" s="408" t="s">
        <v>2496</v>
      </c>
      <c r="F186" s="408"/>
      <c r="G186" s="408"/>
      <c r="H186" s="424" t="s">
        <v>2348</v>
      </c>
      <c r="I186" s="424"/>
      <c r="J186" s="260">
        <v>22656</v>
      </c>
      <c r="K186" s="261"/>
      <c r="L186" s="425">
        <f t="shared" si="15"/>
        <v>22656</v>
      </c>
      <c r="M186" s="425"/>
      <c r="N186" s="260">
        <v>26432</v>
      </c>
      <c r="O186" s="261"/>
      <c r="P186" s="425">
        <f t="shared" si="16"/>
        <v>26432</v>
      </c>
      <c r="Q186" s="425"/>
      <c r="R186" s="425">
        <f t="shared" si="17"/>
        <v>26432</v>
      </c>
      <c r="S186" s="425"/>
      <c r="T186" s="425">
        <f t="shared" si="18"/>
        <v>26432</v>
      </c>
      <c r="U186" s="425"/>
      <c r="V186" s="425">
        <f t="shared" si="19"/>
        <v>26432</v>
      </c>
      <c r="W186" s="425"/>
      <c r="X186" s="425">
        <f t="shared" si="20"/>
        <v>26432</v>
      </c>
      <c r="Y186" s="425"/>
    </row>
    <row r="187" spans="1:25" ht="21.95" customHeight="1" x14ac:dyDescent="0.25">
      <c r="A187" s="41"/>
      <c r="B187" s="41"/>
      <c r="C187" s="150" t="str">
        <f t="shared" si="14"/>
        <v>PR_SALINAS</v>
      </c>
      <c r="D187" s="147" t="s">
        <v>69</v>
      </c>
      <c r="E187" s="408" t="s">
        <v>2497</v>
      </c>
      <c r="F187" s="408"/>
      <c r="G187" s="408"/>
      <c r="H187" s="424" t="s">
        <v>2348</v>
      </c>
      <c r="I187" s="424"/>
      <c r="J187" s="260">
        <v>22656</v>
      </c>
      <c r="K187" s="261"/>
      <c r="L187" s="425">
        <f t="shared" si="15"/>
        <v>22656</v>
      </c>
      <c r="M187" s="425"/>
      <c r="N187" s="260">
        <v>26432</v>
      </c>
      <c r="O187" s="261"/>
      <c r="P187" s="425">
        <f t="shared" si="16"/>
        <v>26432</v>
      </c>
      <c r="Q187" s="425"/>
      <c r="R187" s="425">
        <f t="shared" si="17"/>
        <v>26432</v>
      </c>
      <c r="S187" s="425"/>
      <c r="T187" s="425">
        <f t="shared" si="18"/>
        <v>26432</v>
      </c>
      <c r="U187" s="425"/>
      <c r="V187" s="425">
        <f t="shared" si="19"/>
        <v>26432</v>
      </c>
      <c r="W187" s="425"/>
      <c r="X187" s="425">
        <f t="shared" si="20"/>
        <v>26432</v>
      </c>
      <c r="Y187" s="425"/>
    </row>
    <row r="188" spans="1:25" ht="21.95" customHeight="1" x14ac:dyDescent="0.25">
      <c r="A188" s="41"/>
      <c r="B188" s="41"/>
      <c r="C188" s="150" t="str">
        <f t="shared" si="14"/>
        <v>PR_SAN GERMAN</v>
      </c>
      <c r="D188" s="147" t="s">
        <v>69</v>
      </c>
      <c r="E188" s="408" t="s">
        <v>2498</v>
      </c>
      <c r="F188" s="408"/>
      <c r="G188" s="408"/>
      <c r="H188" s="424" t="s">
        <v>2348</v>
      </c>
      <c r="I188" s="424"/>
      <c r="J188" s="260">
        <v>22656</v>
      </c>
      <c r="K188" s="261"/>
      <c r="L188" s="425">
        <f t="shared" si="15"/>
        <v>22656</v>
      </c>
      <c r="M188" s="425"/>
      <c r="N188" s="260">
        <v>26432</v>
      </c>
      <c r="O188" s="261"/>
      <c r="P188" s="425">
        <f t="shared" si="16"/>
        <v>26432</v>
      </c>
      <c r="Q188" s="425"/>
      <c r="R188" s="425">
        <f t="shared" si="17"/>
        <v>26432</v>
      </c>
      <c r="S188" s="425"/>
      <c r="T188" s="425">
        <f t="shared" si="18"/>
        <v>26432</v>
      </c>
      <c r="U188" s="425"/>
      <c r="V188" s="425">
        <f t="shared" si="19"/>
        <v>26432</v>
      </c>
      <c r="W188" s="425"/>
      <c r="X188" s="425">
        <f t="shared" si="20"/>
        <v>26432</v>
      </c>
      <c r="Y188" s="425"/>
    </row>
    <row r="189" spans="1:25" ht="21.95" customHeight="1" x14ac:dyDescent="0.25">
      <c r="A189" s="41"/>
      <c r="B189" s="41"/>
      <c r="C189" s="150" t="str">
        <f t="shared" si="14"/>
        <v>PR_SAN JUAN</v>
      </c>
      <c r="D189" s="147" t="s">
        <v>69</v>
      </c>
      <c r="E189" s="408" t="s">
        <v>2499</v>
      </c>
      <c r="F189" s="408"/>
      <c r="G189" s="408"/>
      <c r="H189" s="424" t="s">
        <v>2348</v>
      </c>
      <c r="I189" s="424"/>
      <c r="J189" s="260">
        <v>31968</v>
      </c>
      <c r="K189" s="261"/>
      <c r="L189" s="425">
        <f t="shared" si="15"/>
        <v>31968</v>
      </c>
      <c r="M189" s="425"/>
      <c r="N189" s="260">
        <v>37296</v>
      </c>
      <c r="O189" s="261"/>
      <c r="P189" s="425">
        <f t="shared" si="16"/>
        <v>37296</v>
      </c>
      <c r="Q189" s="425"/>
      <c r="R189" s="425">
        <f t="shared" si="17"/>
        <v>37296</v>
      </c>
      <c r="S189" s="425"/>
      <c r="T189" s="425">
        <f t="shared" si="18"/>
        <v>37296</v>
      </c>
      <c r="U189" s="425"/>
      <c r="V189" s="425">
        <f t="shared" si="19"/>
        <v>37296</v>
      </c>
      <c r="W189" s="425"/>
      <c r="X189" s="425">
        <f t="shared" si="20"/>
        <v>37296</v>
      </c>
      <c r="Y189" s="425"/>
    </row>
    <row r="190" spans="1:25" ht="21.95" customHeight="1" x14ac:dyDescent="0.25">
      <c r="A190" s="41"/>
      <c r="B190" s="41"/>
      <c r="C190" s="150" t="str">
        <f t="shared" si="14"/>
        <v>PR_SAN LORENZO</v>
      </c>
      <c r="D190" s="147" t="s">
        <v>69</v>
      </c>
      <c r="E190" s="408" t="s">
        <v>2500</v>
      </c>
      <c r="F190" s="408"/>
      <c r="G190" s="408"/>
      <c r="H190" s="424" t="s">
        <v>2348</v>
      </c>
      <c r="I190" s="424"/>
      <c r="J190" s="260">
        <v>29760</v>
      </c>
      <c r="K190" s="261"/>
      <c r="L190" s="425">
        <f t="shared" si="15"/>
        <v>29760</v>
      </c>
      <c r="M190" s="425"/>
      <c r="N190" s="260">
        <v>34720</v>
      </c>
      <c r="O190" s="261"/>
      <c r="P190" s="425">
        <f t="shared" si="16"/>
        <v>34720</v>
      </c>
      <c r="Q190" s="425"/>
      <c r="R190" s="425">
        <f t="shared" si="17"/>
        <v>34720</v>
      </c>
      <c r="S190" s="425"/>
      <c r="T190" s="425">
        <f t="shared" si="18"/>
        <v>34720</v>
      </c>
      <c r="U190" s="425"/>
      <c r="V190" s="425">
        <f t="shared" si="19"/>
        <v>34720</v>
      </c>
      <c r="W190" s="425"/>
      <c r="X190" s="425">
        <f t="shared" si="20"/>
        <v>34720</v>
      </c>
      <c r="Y190" s="425"/>
    </row>
    <row r="191" spans="1:25" ht="21.95" customHeight="1" x14ac:dyDescent="0.25">
      <c r="A191" s="41"/>
      <c r="B191" s="41"/>
      <c r="C191" s="150" t="str">
        <f t="shared" si="14"/>
        <v>PR_SAN SEBASTIAN</v>
      </c>
      <c r="D191" s="147" t="s">
        <v>69</v>
      </c>
      <c r="E191" s="408" t="s">
        <v>2501</v>
      </c>
      <c r="F191" s="408"/>
      <c r="G191" s="408"/>
      <c r="H191" s="424" t="s">
        <v>2348</v>
      </c>
      <c r="I191" s="424"/>
      <c r="J191" s="260">
        <v>24480</v>
      </c>
      <c r="K191" s="261"/>
      <c r="L191" s="425">
        <f t="shared" si="15"/>
        <v>24480</v>
      </c>
      <c r="M191" s="425"/>
      <c r="N191" s="260">
        <v>28560</v>
      </c>
      <c r="O191" s="261"/>
      <c r="P191" s="425">
        <f t="shared" si="16"/>
        <v>28560</v>
      </c>
      <c r="Q191" s="425"/>
      <c r="R191" s="425">
        <f t="shared" si="17"/>
        <v>28560</v>
      </c>
      <c r="S191" s="425"/>
      <c r="T191" s="425">
        <f t="shared" si="18"/>
        <v>28560</v>
      </c>
      <c r="U191" s="425"/>
      <c r="V191" s="425">
        <f t="shared" si="19"/>
        <v>28560</v>
      </c>
      <c r="W191" s="425"/>
      <c r="X191" s="425">
        <f t="shared" si="20"/>
        <v>28560</v>
      </c>
      <c r="Y191" s="425"/>
    </row>
    <row r="192" spans="1:25" ht="21.95" customHeight="1" x14ac:dyDescent="0.25">
      <c r="A192" s="41"/>
      <c r="B192" s="41"/>
      <c r="C192" s="150" t="str">
        <f t="shared" si="14"/>
        <v>PR_SANTA ISABEL</v>
      </c>
      <c r="D192" s="147" t="s">
        <v>69</v>
      </c>
      <c r="E192" s="408" t="s">
        <v>2502</v>
      </c>
      <c r="F192" s="408"/>
      <c r="G192" s="408"/>
      <c r="H192" s="424" t="s">
        <v>2348</v>
      </c>
      <c r="I192" s="424"/>
      <c r="J192" s="260">
        <v>22656</v>
      </c>
      <c r="K192" s="261"/>
      <c r="L192" s="425">
        <f t="shared" si="15"/>
        <v>22656</v>
      </c>
      <c r="M192" s="425"/>
      <c r="N192" s="260">
        <v>26432</v>
      </c>
      <c r="O192" s="261"/>
      <c r="P192" s="425">
        <f t="shared" si="16"/>
        <v>26432</v>
      </c>
      <c r="Q192" s="425"/>
      <c r="R192" s="425">
        <f t="shared" si="17"/>
        <v>26432</v>
      </c>
      <c r="S192" s="425"/>
      <c r="T192" s="425">
        <f t="shared" si="18"/>
        <v>26432</v>
      </c>
      <c r="U192" s="425"/>
      <c r="V192" s="425">
        <f t="shared" si="19"/>
        <v>26432</v>
      </c>
      <c r="W192" s="425"/>
      <c r="X192" s="425">
        <f t="shared" si="20"/>
        <v>26432</v>
      </c>
      <c r="Y192" s="425"/>
    </row>
    <row r="193" spans="1:25" ht="21.95" customHeight="1" x14ac:dyDescent="0.25">
      <c r="A193" s="41"/>
      <c r="B193" s="41"/>
      <c r="C193" s="150" t="str">
        <f t="shared" si="14"/>
        <v>PR_TOA ALTA</v>
      </c>
      <c r="D193" s="147" t="s">
        <v>69</v>
      </c>
      <c r="E193" s="408" t="s">
        <v>2503</v>
      </c>
      <c r="F193" s="408"/>
      <c r="G193" s="408"/>
      <c r="H193" s="424" t="s">
        <v>2348</v>
      </c>
      <c r="I193" s="424"/>
      <c r="J193" s="260">
        <v>31968</v>
      </c>
      <c r="K193" s="261"/>
      <c r="L193" s="425">
        <f t="shared" si="15"/>
        <v>31968</v>
      </c>
      <c r="M193" s="425"/>
      <c r="N193" s="260">
        <v>37296</v>
      </c>
      <c r="O193" s="261"/>
      <c r="P193" s="425">
        <f t="shared" si="16"/>
        <v>37296</v>
      </c>
      <c r="Q193" s="425"/>
      <c r="R193" s="425">
        <f t="shared" si="17"/>
        <v>37296</v>
      </c>
      <c r="S193" s="425"/>
      <c r="T193" s="425">
        <f t="shared" si="18"/>
        <v>37296</v>
      </c>
      <c r="U193" s="425"/>
      <c r="V193" s="425">
        <f t="shared" si="19"/>
        <v>37296</v>
      </c>
      <c r="W193" s="425"/>
      <c r="X193" s="425">
        <f t="shared" si="20"/>
        <v>37296</v>
      </c>
      <c r="Y193" s="425"/>
    </row>
    <row r="194" spans="1:25" ht="21.95" customHeight="1" x14ac:dyDescent="0.25">
      <c r="A194" s="41"/>
      <c r="B194" s="41"/>
      <c r="C194" s="150" t="str">
        <f t="shared" si="14"/>
        <v>PR_TOA BAJA</v>
      </c>
      <c r="D194" s="147" t="s">
        <v>69</v>
      </c>
      <c r="E194" s="408" t="s">
        <v>2504</v>
      </c>
      <c r="F194" s="408"/>
      <c r="G194" s="408"/>
      <c r="H194" s="424" t="s">
        <v>2348</v>
      </c>
      <c r="I194" s="424"/>
      <c r="J194" s="260">
        <v>31968</v>
      </c>
      <c r="K194" s="261"/>
      <c r="L194" s="425">
        <f t="shared" si="15"/>
        <v>31968</v>
      </c>
      <c r="M194" s="425"/>
      <c r="N194" s="260">
        <v>37296</v>
      </c>
      <c r="O194" s="261"/>
      <c r="P194" s="425">
        <f t="shared" si="16"/>
        <v>37296</v>
      </c>
      <c r="Q194" s="425"/>
      <c r="R194" s="425">
        <f t="shared" si="17"/>
        <v>37296</v>
      </c>
      <c r="S194" s="425"/>
      <c r="T194" s="425">
        <f t="shared" si="18"/>
        <v>37296</v>
      </c>
      <c r="U194" s="425"/>
      <c r="V194" s="425">
        <f t="shared" si="19"/>
        <v>37296</v>
      </c>
      <c r="W194" s="425"/>
      <c r="X194" s="425">
        <f t="shared" si="20"/>
        <v>37296</v>
      </c>
      <c r="Y194" s="425"/>
    </row>
    <row r="195" spans="1:25" ht="21.95" customHeight="1" x14ac:dyDescent="0.25">
      <c r="A195" s="41"/>
      <c r="B195" s="41"/>
      <c r="C195" s="150" t="str">
        <f t="shared" si="14"/>
        <v>PR_TRUJILLO ALTO</v>
      </c>
      <c r="D195" s="147" t="s">
        <v>69</v>
      </c>
      <c r="E195" s="408" t="s">
        <v>2505</v>
      </c>
      <c r="F195" s="408"/>
      <c r="G195" s="408"/>
      <c r="H195" s="424" t="s">
        <v>2348</v>
      </c>
      <c r="I195" s="424"/>
      <c r="J195" s="260">
        <v>31968</v>
      </c>
      <c r="K195" s="261"/>
      <c r="L195" s="425">
        <f t="shared" si="15"/>
        <v>31968</v>
      </c>
      <c r="M195" s="425"/>
      <c r="N195" s="260">
        <v>37296</v>
      </c>
      <c r="O195" s="261"/>
      <c r="P195" s="425">
        <f t="shared" si="16"/>
        <v>37296</v>
      </c>
      <c r="Q195" s="425"/>
      <c r="R195" s="425">
        <f t="shared" si="17"/>
        <v>37296</v>
      </c>
      <c r="S195" s="425"/>
      <c r="T195" s="425">
        <f t="shared" si="18"/>
        <v>37296</v>
      </c>
      <c r="U195" s="425"/>
      <c r="V195" s="425">
        <f t="shared" si="19"/>
        <v>37296</v>
      </c>
      <c r="W195" s="425"/>
      <c r="X195" s="425">
        <f t="shared" si="20"/>
        <v>37296</v>
      </c>
      <c r="Y195" s="425"/>
    </row>
    <row r="196" spans="1:25" ht="21.95" customHeight="1" x14ac:dyDescent="0.25">
      <c r="A196" s="41"/>
      <c r="B196" s="41"/>
      <c r="C196" s="150" t="str">
        <f t="shared" si="14"/>
        <v>PR_UTUADO</v>
      </c>
      <c r="D196" s="147" t="s">
        <v>69</v>
      </c>
      <c r="E196" s="408" t="s">
        <v>2506</v>
      </c>
      <c r="F196" s="408"/>
      <c r="G196" s="408"/>
      <c r="H196" s="424" t="s">
        <v>2348</v>
      </c>
      <c r="I196" s="424"/>
      <c r="J196" s="260">
        <v>23616</v>
      </c>
      <c r="K196" s="261"/>
      <c r="L196" s="425">
        <f t="shared" si="15"/>
        <v>23616</v>
      </c>
      <c r="M196" s="425"/>
      <c r="N196" s="260">
        <v>27552</v>
      </c>
      <c r="O196" s="261"/>
      <c r="P196" s="425">
        <f t="shared" si="16"/>
        <v>27552</v>
      </c>
      <c r="Q196" s="425"/>
      <c r="R196" s="425">
        <f t="shared" si="17"/>
        <v>27552</v>
      </c>
      <c r="S196" s="425"/>
      <c r="T196" s="425">
        <f t="shared" si="18"/>
        <v>27552</v>
      </c>
      <c r="U196" s="425"/>
      <c r="V196" s="425">
        <f t="shared" si="19"/>
        <v>27552</v>
      </c>
      <c r="W196" s="425"/>
      <c r="X196" s="425">
        <f t="shared" si="20"/>
        <v>27552</v>
      </c>
      <c r="Y196" s="425"/>
    </row>
    <row r="197" spans="1:25" ht="21.95" customHeight="1" x14ac:dyDescent="0.25">
      <c r="A197" s="41"/>
      <c r="B197" s="41"/>
      <c r="C197" s="150" t="str">
        <f t="shared" si="14"/>
        <v>PR_VEGA ALTA</v>
      </c>
      <c r="D197" s="147" t="s">
        <v>69</v>
      </c>
      <c r="E197" s="408" t="s">
        <v>2507</v>
      </c>
      <c r="F197" s="408"/>
      <c r="G197" s="408"/>
      <c r="H197" s="424" t="s">
        <v>2348</v>
      </c>
      <c r="I197" s="424"/>
      <c r="J197" s="260">
        <v>31968</v>
      </c>
      <c r="K197" s="261"/>
      <c r="L197" s="425">
        <f t="shared" si="15"/>
        <v>31968</v>
      </c>
      <c r="M197" s="425"/>
      <c r="N197" s="260">
        <v>37296</v>
      </c>
      <c r="O197" s="261"/>
      <c r="P197" s="425">
        <f t="shared" si="16"/>
        <v>37296</v>
      </c>
      <c r="Q197" s="425"/>
      <c r="R197" s="425">
        <f t="shared" si="17"/>
        <v>37296</v>
      </c>
      <c r="S197" s="425"/>
      <c r="T197" s="425">
        <f t="shared" si="18"/>
        <v>37296</v>
      </c>
      <c r="U197" s="425"/>
      <c r="V197" s="425">
        <f t="shared" si="19"/>
        <v>37296</v>
      </c>
      <c r="W197" s="425"/>
      <c r="X197" s="425">
        <f t="shared" si="20"/>
        <v>37296</v>
      </c>
      <c r="Y197" s="425"/>
    </row>
    <row r="198" spans="1:25" ht="21.95" customHeight="1" x14ac:dyDescent="0.25">
      <c r="A198" s="41"/>
      <c r="B198" s="41"/>
      <c r="C198" s="150" t="str">
        <f t="shared" si="14"/>
        <v>PR_VEGA BAJA</v>
      </c>
      <c r="D198" s="147" t="s">
        <v>69</v>
      </c>
      <c r="E198" s="408" t="s">
        <v>2508</v>
      </c>
      <c r="F198" s="408"/>
      <c r="G198" s="408"/>
      <c r="H198" s="424" t="s">
        <v>2348</v>
      </c>
      <c r="I198" s="424"/>
      <c r="J198" s="260">
        <v>31968</v>
      </c>
      <c r="K198" s="261"/>
      <c r="L198" s="425">
        <f t="shared" si="15"/>
        <v>31968</v>
      </c>
      <c r="M198" s="425"/>
      <c r="N198" s="260">
        <v>37296</v>
      </c>
      <c r="O198" s="261"/>
      <c r="P198" s="425">
        <f t="shared" si="16"/>
        <v>37296</v>
      </c>
      <c r="Q198" s="425"/>
      <c r="R198" s="425">
        <f t="shared" si="17"/>
        <v>37296</v>
      </c>
      <c r="S198" s="425"/>
      <c r="T198" s="425">
        <f t="shared" si="18"/>
        <v>37296</v>
      </c>
      <c r="U198" s="425"/>
      <c r="V198" s="425">
        <f t="shared" si="19"/>
        <v>37296</v>
      </c>
      <c r="W198" s="425"/>
      <c r="X198" s="425">
        <f t="shared" si="20"/>
        <v>37296</v>
      </c>
      <c r="Y198" s="425"/>
    </row>
    <row r="199" spans="1:25" ht="21.95" customHeight="1" x14ac:dyDescent="0.25">
      <c r="A199" s="41"/>
      <c r="B199" s="41"/>
      <c r="C199" s="150" t="str">
        <f t="shared" si="14"/>
        <v>PR_VIEQUES</v>
      </c>
      <c r="D199" s="147" t="s">
        <v>69</v>
      </c>
      <c r="E199" s="408" t="s">
        <v>2509</v>
      </c>
      <c r="F199" s="408"/>
      <c r="G199" s="408"/>
      <c r="H199" s="424" t="s">
        <v>2348</v>
      </c>
      <c r="I199" s="424"/>
      <c r="J199" s="260">
        <v>22656</v>
      </c>
      <c r="K199" s="261"/>
      <c r="L199" s="425">
        <f t="shared" si="15"/>
        <v>22656</v>
      </c>
      <c r="M199" s="425"/>
      <c r="N199" s="260">
        <v>26432</v>
      </c>
      <c r="O199" s="261"/>
      <c r="P199" s="425">
        <f t="shared" si="16"/>
        <v>26432</v>
      </c>
      <c r="Q199" s="425"/>
      <c r="R199" s="425">
        <f t="shared" si="17"/>
        <v>26432</v>
      </c>
      <c r="S199" s="425"/>
      <c r="T199" s="425">
        <f t="shared" si="18"/>
        <v>26432</v>
      </c>
      <c r="U199" s="425"/>
      <c r="V199" s="425">
        <f t="shared" si="19"/>
        <v>26432</v>
      </c>
      <c r="W199" s="425"/>
      <c r="X199" s="425">
        <f t="shared" si="20"/>
        <v>26432</v>
      </c>
      <c r="Y199" s="425"/>
    </row>
    <row r="200" spans="1:25" ht="21.95" customHeight="1" x14ac:dyDescent="0.25">
      <c r="A200" s="41"/>
      <c r="B200" s="41"/>
      <c r="C200" s="150" t="str">
        <f t="shared" si="14"/>
        <v>PR_VILLALBA</v>
      </c>
      <c r="D200" s="147" t="s">
        <v>69</v>
      </c>
      <c r="E200" s="408" t="s">
        <v>2510</v>
      </c>
      <c r="F200" s="408"/>
      <c r="G200" s="408"/>
      <c r="H200" s="424" t="s">
        <v>2348</v>
      </c>
      <c r="I200" s="424"/>
      <c r="J200" s="260">
        <v>27456</v>
      </c>
      <c r="K200" s="261"/>
      <c r="L200" s="425">
        <f t="shared" si="15"/>
        <v>27456</v>
      </c>
      <c r="M200" s="425"/>
      <c r="N200" s="260">
        <v>32032</v>
      </c>
      <c r="O200" s="261"/>
      <c r="P200" s="425">
        <f t="shared" si="16"/>
        <v>32032</v>
      </c>
      <c r="Q200" s="425"/>
      <c r="R200" s="425">
        <f t="shared" si="17"/>
        <v>32032</v>
      </c>
      <c r="S200" s="425"/>
      <c r="T200" s="425">
        <f t="shared" si="18"/>
        <v>32032</v>
      </c>
      <c r="U200" s="425"/>
      <c r="V200" s="425">
        <f t="shared" si="19"/>
        <v>32032</v>
      </c>
      <c r="W200" s="425"/>
      <c r="X200" s="425">
        <f t="shared" si="20"/>
        <v>32032</v>
      </c>
      <c r="Y200" s="425"/>
    </row>
    <row r="201" spans="1:25" ht="21.95" customHeight="1" x14ac:dyDescent="0.25">
      <c r="A201" s="41"/>
      <c r="B201" s="41"/>
      <c r="C201" s="150" t="str">
        <f t="shared" si="14"/>
        <v>PR_YABUCOA</v>
      </c>
      <c r="D201" s="147" t="s">
        <v>69</v>
      </c>
      <c r="E201" s="408" t="s">
        <v>2511</v>
      </c>
      <c r="F201" s="408"/>
      <c r="G201" s="408"/>
      <c r="H201" s="424" t="s">
        <v>2348</v>
      </c>
      <c r="I201" s="424"/>
      <c r="J201" s="260">
        <v>31968</v>
      </c>
      <c r="K201" s="261"/>
      <c r="L201" s="425">
        <f t="shared" si="15"/>
        <v>31968</v>
      </c>
      <c r="M201" s="425"/>
      <c r="N201" s="260">
        <v>37296</v>
      </c>
      <c r="O201" s="261"/>
      <c r="P201" s="425">
        <f t="shared" si="16"/>
        <v>37296</v>
      </c>
      <c r="Q201" s="425"/>
      <c r="R201" s="425">
        <f t="shared" si="17"/>
        <v>37296</v>
      </c>
      <c r="S201" s="425"/>
      <c r="T201" s="425">
        <f t="shared" si="18"/>
        <v>37296</v>
      </c>
      <c r="U201" s="425"/>
      <c r="V201" s="425">
        <f t="shared" si="19"/>
        <v>37296</v>
      </c>
      <c r="W201" s="425"/>
      <c r="X201" s="425">
        <f t="shared" si="20"/>
        <v>37296</v>
      </c>
      <c r="Y201" s="425"/>
    </row>
    <row r="202" spans="1:25" ht="21.95" customHeight="1" x14ac:dyDescent="0.25">
      <c r="A202" s="41"/>
      <c r="B202" s="41"/>
      <c r="C202" s="150" t="str">
        <f t="shared" si="14"/>
        <v>PR_YAUCO</v>
      </c>
      <c r="D202" s="147" t="s">
        <v>69</v>
      </c>
      <c r="E202" s="408" t="s">
        <v>2512</v>
      </c>
      <c r="F202" s="408"/>
      <c r="G202" s="408"/>
      <c r="H202" s="424" t="s">
        <v>2348</v>
      </c>
      <c r="I202" s="424"/>
      <c r="J202" s="260">
        <v>22944</v>
      </c>
      <c r="K202" s="261"/>
      <c r="L202" s="425">
        <f t="shared" si="15"/>
        <v>22944</v>
      </c>
      <c r="M202" s="425"/>
      <c r="N202" s="260">
        <v>26768</v>
      </c>
      <c r="O202" s="261"/>
      <c r="P202" s="425">
        <f t="shared" si="16"/>
        <v>26768</v>
      </c>
      <c r="Q202" s="425"/>
      <c r="R202" s="425">
        <f t="shared" si="17"/>
        <v>26768</v>
      </c>
      <c r="S202" s="425"/>
      <c r="T202" s="425">
        <f t="shared" si="18"/>
        <v>26768</v>
      </c>
      <c r="U202" s="425"/>
      <c r="V202" s="425">
        <f t="shared" si="19"/>
        <v>26768</v>
      </c>
      <c r="W202" s="425"/>
      <c r="X202" s="425">
        <f t="shared" si="20"/>
        <v>26768</v>
      </c>
      <c r="Y202" s="425"/>
    </row>
    <row r="203" spans="1:25" ht="21.95" customHeight="1" x14ac:dyDescent="0.25">
      <c r="A203" s="41"/>
      <c r="B203" s="41"/>
      <c r="C203" s="150" t="str">
        <f t="shared" si="14"/>
        <v>VI_ST CROIX</v>
      </c>
      <c r="D203" s="147" t="s">
        <v>143</v>
      </c>
      <c r="E203" s="408" t="s">
        <v>2149</v>
      </c>
      <c r="F203" s="408"/>
      <c r="G203" s="408"/>
      <c r="H203" s="424" t="s">
        <v>186</v>
      </c>
      <c r="I203" s="424"/>
      <c r="J203" s="260">
        <v>37200</v>
      </c>
      <c r="K203" s="261"/>
      <c r="L203" s="260">
        <v>42500</v>
      </c>
      <c r="M203" s="261"/>
      <c r="N203" s="260">
        <v>47800</v>
      </c>
      <c r="O203" s="261"/>
      <c r="P203" s="260">
        <v>53100</v>
      </c>
      <c r="Q203" s="261"/>
      <c r="R203" s="260">
        <v>57350</v>
      </c>
      <c r="S203" s="261"/>
      <c r="T203" s="260">
        <v>61600</v>
      </c>
      <c r="U203" s="261"/>
      <c r="V203" s="260">
        <v>65850</v>
      </c>
      <c r="W203" s="261"/>
      <c r="X203" s="260">
        <v>70100</v>
      </c>
      <c r="Y203" s="261"/>
    </row>
    <row r="204" spans="1:25" ht="21.95" customHeight="1" x14ac:dyDescent="0.25">
      <c r="A204" s="41"/>
      <c r="B204" s="41"/>
      <c r="C204" s="150" t="str">
        <f t="shared" si="14"/>
        <v>VI_ST JOHN</v>
      </c>
      <c r="D204" s="147" t="s">
        <v>143</v>
      </c>
      <c r="E204" s="408" t="s">
        <v>2150</v>
      </c>
      <c r="F204" s="408"/>
      <c r="G204" s="408"/>
      <c r="H204" s="424" t="s">
        <v>186</v>
      </c>
      <c r="I204" s="424"/>
      <c r="J204" s="260">
        <v>55550</v>
      </c>
      <c r="K204" s="261"/>
      <c r="L204" s="260">
        <v>63450</v>
      </c>
      <c r="M204" s="261"/>
      <c r="N204" s="260">
        <v>71400</v>
      </c>
      <c r="O204" s="261"/>
      <c r="P204" s="260">
        <v>79300</v>
      </c>
      <c r="Q204" s="261"/>
      <c r="R204" s="260">
        <v>85650</v>
      </c>
      <c r="S204" s="261"/>
      <c r="T204" s="260">
        <v>92000</v>
      </c>
      <c r="U204" s="261"/>
      <c r="V204" s="260">
        <v>98350</v>
      </c>
      <c r="W204" s="261"/>
      <c r="X204" s="260">
        <v>104700</v>
      </c>
      <c r="Y204" s="261"/>
    </row>
    <row r="205" spans="1:25" ht="21.95" customHeight="1" x14ac:dyDescent="0.25">
      <c r="A205" s="41"/>
      <c r="B205" s="41"/>
      <c r="C205" s="150" t="str">
        <f t="shared" si="14"/>
        <v>VI_ST THOMAS</v>
      </c>
      <c r="D205" s="147" t="s">
        <v>143</v>
      </c>
      <c r="E205" s="408" t="s">
        <v>2151</v>
      </c>
      <c r="F205" s="408"/>
      <c r="G205" s="408"/>
      <c r="H205" s="424" t="s">
        <v>186</v>
      </c>
      <c r="I205" s="424"/>
      <c r="J205" s="260">
        <v>40900</v>
      </c>
      <c r="K205" s="261"/>
      <c r="L205" s="260">
        <v>46750</v>
      </c>
      <c r="M205" s="261"/>
      <c r="N205" s="260">
        <v>52600</v>
      </c>
      <c r="O205" s="261"/>
      <c r="P205" s="260">
        <v>58400</v>
      </c>
      <c r="Q205" s="261"/>
      <c r="R205" s="260">
        <v>63100</v>
      </c>
      <c r="S205" s="261"/>
      <c r="T205" s="260">
        <v>67750</v>
      </c>
      <c r="U205" s="261"/>
      <c r="V205" s="260">
        <v>72450</v>
      </c>
      <c r="W205" s="261"/>
      <c r="X205" s="260">
        <v>77100</v>
      </c>
      <c r="Y205" s="261"/>
    </row>
    <row r="206" spans="1:25" ht="21.95" customHeight="1" x14ac:dyDescent="0.25">
      <c r="A206" s="41"/>
      <c r="B206" s="41"/>
      <c r="E206" s="119"/>
      <c r="G206" s="119"/>
    </row>
    <row r="207" spans="1:25" ht="21.95" customHeight="1" x14ac:dyDescent="0.25">
      <c r="A207" s="149"/>
      <c r="B207" s="149"/>
      <c r="E207" s="119"/>
      <c r="G207" s="119"/>
    </row>
    <row r="208" spans="1:25" ht="21.95" customHeight="1" thickBot="1" x14ac:dyDescent="0.3">
      <c r="D208" s="85" t="s">
        <v>2369</v>
      </c>
      <c r="E208" s="85"/>
      <c r="F208" s="85"/>
      <c r="G208" s="85"/>
      <c r="H208" s="85"/>
      <c r="I208" s="85"/>
      <c r="J208" s="85"/>
      <c r="K208" s="85"/>
      <c r="L208" s="85"/>
      <c r="M208" s="85"/>
      <c r="N208" s="85"/>
      <c r="O208" s="85"/>
      <c r="P208" s="85"/>
      <c r="Q208" s="85"/>
      <c r="R208" s="85"/>
      <c r="S208" s="85"/>
      <c r="T208" s="85"/>
      <c r="U208" s="85"/>
      <c r="V208" s="85"/>
      <c r="W208" s="85"/>
      <c r="X208" s="85"/>
      <c r="Y208" s="85"/>
    </row>
    <row r="209" spans="4:25" ht="21.95" customHeight="1" x14ac:dyDescent="0.25">
      <c r="D209" s="40"/>
      <c r="V209" s="95"/>
      <c r="W209" s="95"/>
      <c r="X209" s="95"/>
      <c r="Y209" s="95"/>
    </row>
    <row r="210" spans="4:25" ht="21.95" customHeight="1" x14ac:dyDescent="0.25">
      <c r="D210" s="61" t="s">
        <v>2186</v>
      </c>
      <c r="V210" s="95"/>
      <c r="W210" s="95"/>
      <c r="X210" s="95"/>
      <c r="Y210" s="96" t="s">
        <v>2201</v>
      </c>
    </row>
    <row r="211" spans="4:25" ht="21.95" customHeight="1" x14ac:dyDescent="0.25">
      <c r="D211" s="423" t="s">
        <v>2187</v>
      </c>
      <c r="E211" s="423"/>
      <c r="F211" s="423"/>
      <c r="G211" s="423"/>
      <c r="H211" s="423"/>
      <c r="I211" s="423"/>
      <c r="J211" s="423"/>
      <c r="K211" s="423"/>
      <c r="L211" s="423"/>
      <c r="M211" s="423" t="s">
        <v>2188</v>
      </c>
      <c r="N211" s="423"/>
      <c r="O211" s="423"/>
      <c r="P211" s="423"/>
      <c r="Q211" s="423"/>
      <c r="R211" s="423"/>
      <c r="S211" s="423"/>
      <c r="T211" s="423"/>
      <c r="U211" s="423"/>
      <c r="V211" s="423"/>
      <c r="W211" s="423"/>
      <c r="X211" s="423"/>
      <c r="Y211" s="423"/>
    </row>
    <row r="212" spans="4:25" ht="21.95" customHeight="1" x14ac:dyDescent="0.25">
      <c r="D212" s="403" t="s">
        <v>2940</v>
      </c>
      <c r="E212" s="403"/>
      <c r="F212" s="403"/>
      <c r="G212" s="403"/>
      <c r="H212" s="403"/>
      <c r="I212" s="403"/>
      <c r="J212" s="403"/>
      <c r="K212" s="403"/>
      <c r="L212" s="403"/>
      <c r="M212" s="403" t="s">
        <v>2941</v>
      </c>
      <c r="N212" s="403"/>
      <c r="O212" s="403"/>
      <c r="P212" s="403"/>
      <c r="Q212" s="403"/>
      <c r="R212" s="403"/>
      <c r="S212" s="403"/>
      <c r="T212" s="403"/>
      <c r="U212" s="403"/>
      <c r="V212" s="403"/>
      <c r="W212" s="403"/>
      <c r="X212" s="403"/>
      <c r="Y212" s="403"/>
    </row>
    <row r="213" spans="4:25" ht="21.95" customHeight="1" x14ac:dyDescent="0.25">
      <c r="D213" s="403"/>
      <c r="E213" s="403"/>
      <c r="F213" s="403"/>
      <c r="G213" s="403"/>
      <c r="H213" s="403"/>
      <c r="I213" s="403"/>
      <c r="J213" s="403"/>
      <c r="K213" s="403"/>
      <c r="L213" s="403"/>
      <c r="M213" s="403"/>
      <c r="N213" s="403"/>
      <c r="O213" s="403"/>
      <c r="P213" s="403"/>
      <c r="Q213" s="403"/>
      <c r="R213" s="403"/>
      <c r="S213" s="403"/>
      <c r="T213" s="403"/>
      <c r="U213" s="403"/>
      <c r="V213" s="403"/>
      <c r="W213" s="403"/>
      <c r="X213" s="403"/>
      <c r="Y213" s="403"/>
    </row>
    <row r="214" spans="4:25" ht="21.95" customHeight="1" x14ac:dyDescent="0.25">
      <c r="D214" s="403"/>
      <c r="E214" s="403"/>
      <c r="F214" s="403"/>
      <c r="G214" s="403"/>
      <c r="H214" s="403"/>
      <c r="I214" s="403"/>
      <c r="J214" s="403"/>
      <c r="K214" s="403"/>
      <c r="L214" s="403"/>
      <c r="M214" s="403"/>
      <c r="N214" s="403"/>
      <c r="O214" s="403"/>
      <c r="P214" s="403"/>
      <c r="Q214" s="403"/>
      <c r="R214" s="403"/>
      <c r="S214" s="403"/>
      <c r="T214" s="403"/>
      <c r="U214" s="403"/>
      <c r="V214" s="403"/>
      <c r="W214" s="403"/>
      <c r="X214" s="403"/>
      <c r="Y214" s="403"/>
    </row>
    <row r="215" spans="4:25" ht="21.95" customHeight="1" x14ac:dyDescent="0.25">
      <c r="D215" s="403"/>
      <c r="E215" s="403"/>
      <c r="F215" s="403"/>
      <c r="G215" s="403"/>
      <c r="H215" s="403"/>
      <c r="I215" s="403"/>
      <c r="J215" s="403"/>
      <c r="K215" s="403"/>
      <c r="L215" s="403"/>
      <c r="M215" s="403"/>
      <c r="N215" s="403"/>
      <c r="O215" s="403"/>
      <c r="P215" s="403"/>
      <c r="Q215" s="403"/>
      <c r="R215" s="403"/>
      <c r="S215" s="403"/>
      <c r="T215" s="403"/>
      <c r="U215" s="403"/>
      <c r="V215" s="403"/>
      <c r="W215" s="403"/>
      <c r="X215" s="403"/>
      <c r="Y215" s="403"/>
    </row>
    <row r="216" spans="4:25" ht="21.95" customHeight="1" x14ac:dyDescent="0.25">
      <c r="D216" s="403"/>
      <c r="E216" s="403"/>
      <c r="F216" s="403"/>
      <c r="G216" s="403"/>
      <c r="H216" s="403"/>
      <c r="I216" s="403"/>
      <c r="J216" s="403"/>
      <c r="K216" s="403"/>
      <c r="L216" s="403"/>
      <c r="M216" s="403"/>
      <c r="N216" s="403"/>
      <c r="O216" s="403"/>
      <c r="P216" s="403"/>
      <c r="Q216" s="403"/>
      <c r="R216" s="403"/>
      <c r="S216" s="403"/>
      <c r="T216" s="403"/>
      <c r="U216" s="403"/>
      <c r="V216" s="403"/>
      <c r="W216" s="403"/>
      <c r="X216" s="403"/>
      <c r="Y216" s="403"/>
    </row>
    <row r="217" spans="4:25" ht="21.95" customHeight="1" x14ac:dyDescent="0.25">
      <c r="D217" s="403"/>
      <c r="E217" s="403"/>
      <c r="F217" s="403"/>
      <c r="G217" s="403"/>
      <c r="H217" s="403"/>
      <c r="I217" s="403"/>
      <c r="J217" s="403"/>
      <c r="K217" s="403"/>
      <c r="L217" s="403"/>
      <c r="M217" s="403"/>
      <c r="N217" s="403"/>
      <c r="O217" s="403"/>
      <c r="P217" s="403"/>
      <c r="Q217" s="403"/>
      <c r="R217" s="403"/>
      <c r="S217" s="403"/>
      <c r="T217" s="403"/>
      <c r="U217" s="403"/>
      <c r="V217" s="403"/>
      <c r="W217" s="403"/>
      <c r="X217" s="403"/>
      <c r="Y217" s="403"/>
    </row>
    <row r="218" spans="4:25" ht="21.95" customHeight="1" x14ac:dyDescent="0.25">
      <c r="D218" s="40"/>
      <c r="V218" s="95"/>
      <c r="W218" s="95"/>
      <c r="X218" s="95"/>
      <c r="Y218" s="95"/>
    </row>
    <row r="219" spans="4:25" ht="21.95" hidden="1" customHeight="1" x14ac:dyDescent="0.25"/>
    <row r="220" spans="4:25" ht="21.95" hidden="1" customHeight="1" x14ac:dyDescent="0.25"/>
    <row r="221" spans="4:25" ht="21.95" hidden="1" customHeight="1" x14ac:dyDescent="0.25"/>
    <row r="222" spans="4:25" ht="21.95" hidden="1" customHeight="1" x14ac:dyDescent="0.25"/>
    <row r="223" spans="4:25" ht="21.95" hidden="1" customHeight="1" x14ac:dyDescent="0.25"/>
    <row r="224" spans="4:25" ht="21.95" hidden="1" customHeight="1" x14ac:dyDescent="0.25"/>
    <row r="225" ht="21.95" hidden="1" customHeight="1" x14ac:dyDescent="0.25"/>
    <row r="226" ht="21.95" hidden="1" customHeight="1" x14ac:dyDescent="0.25"/>
    <row r="227" ht="21.95" hidden="1" customHeight="1" x14ac:dyDescent="0.25"/>
    <row r="228" ht="21.95" hidden="1" customHeight="1" x14ac:dyDescent="0.25"/>
    <row r="229" ht="21.95" hidden="1" customHeight="1" x14ac:dyDescent="0.25"/>
    <row r="230" ht="21.95" hidden="1" customHeight="1" x14ac:dyDescent="0.25"/>
    <row r="231" ht="21.95" hidden="1" customHeight="1" x14ac:dyDescent="0.25"/>
    <row r="232" ht="21.95" hidden="1" customHeight="1" x14ac:dyDescent="0.25"/>
    <row r="233" ht="21.95" hidden="1" customHeight="1" x14ac:dyDescent="0.25"/>
    <row r="234" ht="21.95" hidden="1" customHeight="1" x14ac:dyDescent="0.25"/>
    <row r="235" ht="21.95" hidden="1" customHeight="1" x14ac:dyDescent="0.25"/>
    <row r="236" ht="21.95" hidden="1" customHeight="1" x14ac:dyDescent="0.25"/>
    <row r="237" ht="21.95" hidden="1" customHeight="1" x14ac:dyDescent="0.25"/>
    <row r="238" ht="21.95" hidden="1" customHeight="1" x14ac:dyDescent="0.25"/>
    <row r="239" ht="21.95" hidden="1" customHeight="1" x14ac:dyDescent="0.25"/>
    <row r="240" ht="21.95" hidden="1" customHeight="1" x14ac:dyDescent="0.25"/>
    <row r="241" ht="21.95" hidden="1" customHeight="1" x14ac:dyDescent="0.25"/>
  </sheetData>
  <sheetProtection algorithmName="SHA-512" hashValue="zC7miNskJ39jJurF0H/ogZRbjKJjSZK2iwJfzp1tSemOrZkk1JkcP/32gbTBrqtTym5ZFvnvKCfCxeF5xCupHg==" saltValue="6+AIFm35YYtvbOSpvK+P6Q==" spinCount="100000" sheet="1" objects="1" scenarios="1" selectLockedCells="1"/>
  <dataConsolidate/>
  <mergeCells count="1340">
    <mergeCell ref="V202:W202"/>
    <mergeCell ref="R202:S202"/>
    <mergeCell ref="V197:W197"/>
    <mergeCell ref="V198:W198"/>
    <mergeCell ref="V201:W201"/>
    <mergeCell ref="T193:U193"/>
    <mergeCell ref="T194:U194"/>
    <mergeCell ref="T195:U195"/>
    <mergeCell ref="T196:U196"/>
    <mergeCell ref="R197:S197"/>
    <mergeCell ref="R198:S198"/>
    <mergeCell ref="R201:S201"/>
    <mergeCell ref="P193:Q193"/>
    <mergeCell ref="P194:Q194"/>
    <mergeCell ref="P195:Q195"/>
    <mergeCell ref="V7:Y7"/>
    <mergeCell ref="V8:Y8"/>
    <mergeCell ref="V20:Y20"/>
    <mergeCell ref="X202:Y202"/>
    <mergeCell ref="X199:Y199"/>
    <mergeCell ref="X200:Y200"/>
    <mergeCell ref="X201:Y201"/>
    <mergeCell ref="X177:Y177"/>
    <mergeCell ref="X178:Y178"/>
    <mergeCell ref="X179:Y179"/>
    <mergeCell ref="X180:Y180"/>
    <mergeCell ref="X181:Y181"/>
    <mergeCell ref="X172:Y172"/>
    <mergeCell ref="X173:Y173"/>
    <mergeCell ref="X174:Y174"/>
    <mergeCell ref="X175:Y175"/>
    <mergeCell ref="X176:Y176"/>
    <mergeCell ref="L202:M202"/>
    <mergeCell ref="L199:M199"/>
    <mergeCell ref="L200:M200"/>
    <mergeCell ref="L201:M201"/>
    <mergeCell ref="L197:M197"/>
    <mergeCell ref="L198:M198"/>
    <mergeCell ref="L192:M192"/>
    <mergeCell ref="L193:M193"/>
    <mergeCell ref="L194:M194"/>
    <mergeCell ref="L195:M195"/>
    <mergeCell ref="L196:M196"/>
    <mergeCell ref="L187:M187"/>
    <mergeCell ref="L188:M188"/>
    <mergeCell ref="L189:M189"/>
    <mergeCell ref="L190:M190"/>
    <mergeCell ref="L191:M191"/>
    <mergeCell ref="L182:M182"/>
    <mergeCell ref="L183:M183"/>
    <mergeCell ref="L184:M184"/>
    <mergeCell ref="L185:M185"/>
    <mergeCell ref="L186:M186"/>
    <mergeCell ref="X197:Y197"/>
    <mergeCell ref="X198:Y198"/>
    <mergeCell ref="X192:Y192"/>
    <mergeCell ref="X193:Y193"/>
    <mergeCell ref="X194:Y194"/>
    <mergeCell ref="X195:Y195"/>
    <mergeCell ref="X196:Y196"/>
    <mergeCell ref="X187:Y187"/>
    <mergeCell ref="X188:Y188"/>
    <mergeCell ref="X189:Y189"/>
    <mergeCell ref="X190:Y190"/>
    <mergeCell ref="X191:Y191"/>
    <mergeCell ref="X182:Y182"/>
    <mergeCell ref="X183:Y183"/>
    <mergeCell ref="X184:Y184"/>
    <mergeCell ref="X185:Y185"/>
    <mergeCell ref="X186:Y186"/>
    <mergeCell ref="X167:Y167"/>
    <mergeCell ref="X168:Y168"/>
    <mergeCell ref="X169:Y169"/>
    <mergeCell ref="X170:Y170"/>
    <mergeCell ref="X171:Y171"/>
    <mergeCell ref="X162:Y162"/>
    <mergeCell ref="X163:Y163"/>
    <mergeCell ref="X164:Y164"/>
    <mergeCell ref="X165:Y165"/>
    <mergeCell ref="X166:Y166"/>
    <mergeCell ref="X157:Y157"/>
    <mergeCell ref="X158:Y158"/>
    <mergeCell ref="X159:Y159"/>
    <mergeCell ref="X160:Y160"/>
    <mergeCell ref="X161:Y161"/>
    <mergeCell ref="X152:Y152"/>
    <mergeCell ref="X153:Y153"/>
    <mergeCell ref="X154:Y154"/>
    <mergeCell ref="X155:Y155"/>
    <mergeCell ref="X156:Y156"/>
    <mergeCell ref="X147:Y147"/>
    <mergeCell ref="X148:Y148"/>
    <mergeCell ref="X149:Y149"/>
    <mergeCell ref="X150:Y150"/>
    <mergeCell ref="X151:Y151"/>
    <mergeCell ref="X142:Y142"/>
    <mergeCell ref="X143:Y143"/>
    <mergeCell ref="X144:Y144"/>
    <mergeCell ref="X145:Y145"/>
    <mergeCell ref="X146:Y146"/>
    <mergeCell ref="X137:Y137"/>
    <mergeCell ref="X138:Y138"/>
    <mergeCell ref="X139:Y139"/>
    <mergeCell ref="X140:Y140"/>
    <mergeCell ref="X141:Y141"/>
    <mergeCell ref="X132:Y132"/>
    <mergeCell ref="X133:Y133"/>
    <mergeCell ref="X134:Y134"/>
    <mergeCell ref="X135:Y135"/>
    <mergeCell ref="X136:Y136"/>
    <mergeCell ref="X127:Y127"/>
    <mergeCell ref="X128:Y128"/>
    <mergeCell ref="X129:Y129"/>
    <mergeCell ref="X130:Y130"/>
    <mergeCell ref="X131:Y131"/>
    <mergeCell ref="X122:Y122"/>
    <mergeCell ref="X123:Y123"/>
    <mergeCell ref="X124:Y124"/>
    <mergeCell ref="X125:Y125"/>
    <mergeCell ref="X126:Y126"/>
    <mergeCell ref="X117:Y117"/>
    <mergeCell ref="X118:Y118"/>
    <mergeCell ref="X119:Y119"/>
    <mergeCell ref="X120:Y120"/>
    <mergeCell ref="X121:Y121"/>
    <mergeCell ref="X112:Y112"/>
    <mergeCell ref="X113:Y113"/>
    <mergeCell ref="X114:Y114"/>
    <mergeCell ref="X115:Y115"/>
    <mergeCell ref="X116:Y116"/>
    <mergeCell ref="X107:Y107"/>
    <mergeCell ref="X108:Y108"/>
    <mergeCell ref="X109:Y109"/>
    <mergeCell ref="X110:Y110"/>
    <mergeCell ref="X111:Y111"/>
    <mergeCell ref="X102:Y102"/>
    <mergeCell ref="X103:Y103"/>
    <mergeCell ref="X104:Y104"/>
    <mergeCell ref="X105:Y105"/>
    <mergeCell ref="X106:Y106"/>
    <mergeCell ref="X97:Y97"/>
    <mergeCell ref="X98:Y98"/>
    <mergeCell ref="X99:Y99"/>
    <mergeCell ref="X100:Y100"/>
    <mergeCell ref="X101:Y101"/>
    <mergeCell ref="X92:Y92"/>
    <mergeCell ref="X93:Y93"/>
    <mergeCell ref="X94:Y94"/>
    <mergeCell ref="X95:Y95"/>
    <mergeCell ref="X96:Y96"/>
    <mergeCell ref="X87:Y87"/>
    <mergeCell ref="X88:Y88"/>
    <mergeCell ref="X89:Y89"/>
    <mergeCell ref="X90:Y90"/>
    <mergeCell ref="X91:Y91"/>
    <mergeCell ref="X82:Y82"/>
    <mergeCell ref="X83:Y83"/>
    <mergeCell ref="X84:Y84"/>
    <mergeCell ref="X85:Y85"/>
    <mergeCell ref="X86:Y86"/>
    <mergeCell ref="X77:Y77"/>
    <mergeCell ref="X78:Y78"/>
    <mergeCell ref="X79:Y79"/>
    <mergeCell ref="X80:Y80"/>
    <mergeCell ref="X81:Y81"/>
    <mergeCell ref="X72:Y72"/>
    <mergeCell ref="X73:Y73"/>
    <mergeCell ref="X74:Y74"/>
    <mergeCell ref="X75:Y75"/>
    <mergeCell ref="X76:Y76"/>
    <mergeCell ref="X67:Y67"/>
    <mergeCell ref="X68:Y68"/>
    <mergeCell ref="X69:Y69"/>
    <mergeCell ref="X70:Y70"/>
    <mergeCell ref="X71:Y71"/>
    <mergeCell ref="X62:Y62"/>
    <mergeCell ref="X63:Y63"/>
    <mergeCell ref="X64:Y64"/>
    <mergeCell ref="X65:Y65"/>
    <mergeCell ref="X66:Y66"/>
    <mergeCell ref="X57:Y57"/>
    <mergeCell ref="X58:Y58"/>
    <mergeCell ref="X59:Y59"/>
    <mergeCell ref="X60:Y60"/>
    <mergeCell ref="X61:Y61"/>
    <mergeCell ref="X42:Y42"/>
    <mergeCell ref="X43:Y43"/>
    <mergeCell ref="X44:Y44"/>
    <mergeCell ref="X45:Y45"/>
    <mergeCell ref="X46:Y46"/>
    <mergeCell ref="X47:Y47"/>
    <mergeCell ref="X48:Y48"/>
    <mergeCell ref="X49:Y49"/>
    <mergeCell ref="X50:Y50"/>
    <mergeCell ref="X51:Y51"/>
    <mergeCell ref="X52:Y52"/>
    <mergeCell ref="X53:Y53"/>
    <mergeCell ref="X54:Y54"/>
    <mergeCell ref="X55:Y55"/>
    <mergeCell ref="X56:Y56"/>
    <mergeCell ref="V177:W177"/>
    <mergeCell ref="V178:W178"/>
    <mergeCell ref="V179:W179"/>
    <mergeCell ref="V180:W180"/>
    <mergeCell ref="V181:W181"/>
    <mergeCell ref="V172:W172"/>
    <mergeCell ref="V173:W173"/>
    <mergeCell ref="V174:W174"/>
    <mergeCell ref="V175:W175"/>
    <mergeCell ref="V176:W176"/>
    <mergeCell ref="V167:W167"/>
    <mergeCell ref="V168:W168"/>
    <mergeCell ref="V169:W169"/>
    <mergeCell ref="V170:W170"/>
    <mergeCell ref="V171:W171"/>
    <mergeCell ref="V199:W199"/>
    <mergeCell ref="V200:W200"/>
    <mergeCell ref="V192:W192"/>
    <mergeCell ref="V193:W193"/>
    <mergeCell ref="V194:W194"/>
    <mergeCell ref="V195:W195"/>
    <mergeCell ref="V196:W196"/>
    <mergeCell ref="V187:W187"/>
    <mergeCell ref="V188:W188"/>
    <mergeCell ref="V189:W189"/>
    <mergeCell ref="V190:W190"/>
    <mergeCell ref="V191:W191"/>
    <mergeCell ref="V182:W182"/>
    <mergeCell ref="V183:W183"/>
    <mergeCell ref="V184:W184"/>
    <mergeCell ref="V185:W185"/>
    <mergeCell ref="V186:W186"/>
    <mergeCell ref="V162:W162"/>
    <mergeCell ref="V163:W163"/>
    <mergeCell ref="V164:W164"/>
    <mergeCell ref="V165:W165"/>
    <mergeCell ref="V166:W166"/>
    <mergeCell ref="V157:W157"/>
    <mergeCell ref="V158:W158"/>
    <mergeCell ref="V159:W159"/>
    <mergeCell ref="V160:W160"/>
    <mergeCell ref="V161:W161"/>
    <mergeCell ref="V152:W152"/>
    <mergeCell ref="V153:W153"/>
    <mergeCell ref="V154:W154"/>
    <mergeCell ref="V155:W155"/>
    <mergeCell ref="V156:W156"/>
    <mergeCell ref="V147:W147"/>
    <mergeCell ref="V148:W148"/>
    <mergeCell ref="V149:W149"/>
    <mergeCell ref="V150:W150"/>
    <mergeCell ref="V151:W151"/>
    <mergeCell ref="V142:W142"/>
    <mergeCell ref="V143:W143"/>
    <mergeCell ref="V144:W144"/>
    <mergeCell ref="V145:W145"/>
    <mergeCell ref="V146:W146"/>
    <mergeCell ref="V137:W137"/>
    <mergeCell ref="V138:W138"/>
    <mergeCell ref="V139:W139"/>
    <mergeCell ref="V140:W140"/>
    <mergeCell ref="V141:W141"/>
    <mergeCell ref="V132:W132"/>
    <mergeCell ref="V133:W133"/>
    <mergeCell ref="V134:W134"/>
    <mergeCell ref="V135:W135"/>
    <mergeCell ref="V136:W136"/>
    <mergeCell ref="V127:W127"/>
    <mergeCell ref="V128:W128"/>
    <mergeCell ref="V129:W129"/>
    <mergeCell ref="V130:W130"/>
    <mergeCell ref="V131:W131"/>
    <mergeCell ref="V122:W122"/>
    <mergeCell ref="V123:W123"/>
    <mergeCell ref="V124:W124"/>
    <mergeCell ref="V125:W125"/>
    <mergeCell ref="V126:W126"/>
    <mergeCell ref="V117:W117"/>
    <mergeCell ref="V118:W118"/>
    <mergeCell ref="V119:W119"/>
    <mergeCell ref="V120:W120"/>
    <mergeCell ref="V121:W121"/>
    <mergeCell ref="V112:W112"/>
    <mergeCell ref="V113:W113"/>
    <mergeCell ref="V114:W114"/>
    <mergeCell ref="V115:W115"/>
    <mergeCell ref="V116:W116"/>
    <mergeCell ref="V107:W107"/>
    <mergeCell ref="V108:W108"/>
    <mergeCell ref="V109:W109"/>
    <mergeCell ref="V110:W110"/>
    <mergeCell ref="V111:W111"/>
    <mergeCell ref="V102:W102"/>
    <mergeCell ref="V103:W103"/>
    <mergeCell ref="V104:W104"/>
    <mergeCell ref="V105:W105"/>
    <mergeCell ref="V106:W106"/>
    <mergeCell ref="V97:W97"/>
    <mergeCell ref="V98:W98"/>
    <mergeCell ref="V99:W99"/>
    <mergeCell ref="V100:W100"/>
    <mergeCell ref="V101:W101"/>
    <mergeCell ref="V92:W92"/>
    <mergeCell ref="V93:W93"/>
    <mergeCell ref="V94:W94"/>
    <mergeCell ref="V95:W95"/>
    <mergeCell ref="V96:W96"/>
    <mergeCell ref="V87:W87"/>
    <mergeCell ref="V88:W88"/>
    <mergeCell ref="V89:W89"/>
    <mergeCell ref="V90:W90"/>
    <mergeCell ref="V91:W91"/>
    <mergeCell ref="V82:W82"/>
    <mergeCell ref="V83:W83"/>
    <mergeCell ref="V84:W84"/>
    <mergeCell ref="V85:W85"/>
    <mergeCell ref="V86:W86"/>
    <mergeCell ref="V77:W77"/>
    <mergeCell ref="V78:W78"/>
    <mergeCell ref="V79:W79"/>
    <mergeCell ref="V80:W80"/>
    <mergeCell ref="V81:W81"/>
    <mergeCell ref="V72:W72"/>
    <mergeCell ref="V73:W73"/>
    <mergeCell ref="V74:W74"/>
    <mergeCell ref="V75:W75"/>
    <mergeCell ref="V76:W76"/>
    <mergeCell ref="V67:W67"/>
    <mergeCell ref="V68:W68"/>
    <mergeCell ref="V69:W69"/>
    <mergeCell ref="V70:W70"/>
    <mergeCell ref="V71:W71"/>
    <mergeCell ref="V62:W62"/>
    <mergeCell ref="V63:W63"/>
    <mergeCell ref="V64:W64"/>
    <mergeCell ref="V65:W65"/>
    <mergeCell ref="V66:W66"/>
    <mergeCell ref="V57:W57"/>
    <mergeCell ref="V58:W58"/>
    <mergeCell ref="V59:W59"/>
    <mergeCell ref="V60:W60"/>
    <mergeCell ref="V61:W61"/>
    <mergeCell ref="T202:U202"/>
    <mergeCell ref="V42:W42"/>
    <mergeCell ref="V43:W43"/>
    <mergeCell ref="V44:W44"/>
    <mergeCell ref="V45:W45"/>
    <mergeCell ref="V46:W46"/>
    <mergeCell ref="V47:W47"/>
    <mergeCell ref="V48:W48"/>
    <mergeCell ref="V49:W49"/>
    <mergeCell ref="V50:W50"/>
    <mergeCell ref="V51:W51"/>
    <mergeCell ref="V52:W52"/>
    <mergeCell ref="V53:W53"/>
    <mergeCell ref="V54:W54"/>
    <mergeCell ref="V55:W55"/>
    <mergeCell ref="V56:W56"/>
    <mergeCell ref="T197:U197"/>
    <mergeCell ref="T198:U198"/>
    <mergeCell ref="T199:U199"/>
    <mergeCell ref="T200:U200"/>
    <mergeCell ref="T201:U201"/>
    <mergeCell ref="T192:U192"/>
    <mergeCell ref="T187:U187"/>
    <mergeCell ref="T188:U188"/>
    <mergeCell ref="T189:U189"/>
    <mergeCell ref="T190:U190"/>
    <mergeCell ref="T191:U191"/>
    <mergeCell ref="T182:U182"/>
    <mergeCell ref="T183:U183"/>
    <mergeCell ref="T184:U184"/>
    <mergeCell ref="T185:U185"/>
    <mergeCell ref="T186:U186"/>
    <mergeCell ref="T177:U177"/>
    <mergeCell ref="T178:U178"/>
    <mergeCell ref="T179:U179"/>
    <mergeCell ref="T180:U180"/>
    <mergeCell ref="T181:U181"/>
    <mergeCell ref="T172:U172"/>
    <mergeCell ref="T173:U173"/>
    <mergeCell ref="T174:U174"/>
    <mergeCell ref="T175:U175"/>
    <mergeCell ref="T176:U176"/>
    <mergeCell ref="T167:U167"/>
    <mergeCell ref="T168:U168"/>
    <mergeCell ref="T169:U169"/>
    <mergeCell ref="T170:U170"/>
    <mergeCell ref="T171:U171"/>
    <mergeCell ref="T162:U162"/>
    <mergeCell ref="T163:U163"/>
    <mergeCell ref="T164:U164"/>
    <mergeCell ref="T165:U165"/>
    <mergeCell ref="T166:U166"/>
    <mergeCell ref="T157:U157"/>
    <mergeCell ref="T158:U158"/>
    <mergeCell ref="T159:U159"/>
    <mergeCell ref="T160:U160"/>
    <mergeCell ref="T161:U161"/>
    <mergeCell ref="T152:U152"/>
    <mergeCell ref="T153:U153"/>
    <mergeCell ref="T154:U154"/>
    <mergeCell ref="T155:U155"/>
    <mergeCell ref="T156:U156"/>
    <mergeCell ref="T147:U147"/>
    <mergeCell ref="T148:U148"/>
    <mergeCell ref="T149:U149"/>
    <mergeCell ref="T150:U150"/>
    <mergeCell ref="T151:U151"/>
    <mergeCell ref="T142:U142"/>
    <mergeCell ref="T143:U143"/>
    <mergeCell ref="T144:U144"/>
    <mergeCell ref="T145:U145"/>
    <mergeCell ref="T146:U146"/>
    <mergeCell ref="T137:U137"/>
    <mergeCell ref="T138:U138"/>
    <mergeCell ref="T139:U139"/>
    <mergeCell ref="T140:U140"/>
    <mergeCell ref="T141:U141"/>
    <mergeCell ref="T132:U132"/>
    <mergeCell ref="T133:U133"/>
    <mergeCell ref="T134:U134"/>
    <mergeCell ref="T135:U135"/>
    <mergeCell ref="T136:U136"/>
    <mergeCell ref="T127:U127"/>
    <mergeCell ref="T128:U128"/>
    <mergeCell ref="T129:U129"/>
    <mergeCell ref="T130:U130"/>
    <mergeCell ref="T131:U131"/>
    <mergeCell ref="T122:U122"/>
    <mergeCell ref="T123:U123"/>
    <mergeCell ref="T124:U124"/>
    <mergeCell ref="T125:U125"/>
    <mergeCell ref="T126:U126"/>
    <mergeCell ref="T117:U117"/>
    <mergeCell ref="T118:U118"/>
    <mergeCell ref="T119:U119"/>
    <mergeCell ref="T120:U120"/>
    <mergeCell ref="T121:U121"/>
    <mergeCell ref="T112:U112"/>
    <mergeCell ref="T113:U113"/>
    <mergeCell ref="T114:U114"/>
    <mergeCell ref="T115:U115"/>
    <mergeCell ref="T116:U116"/>
    <mergeCell ref="T107:U107"/>
    <mergeCell ref="T108:U108"/>
    <mergeCell ref="T109:U109"/>
    <mergeCell ref="T110:U110"/>
    <mergeCell ref="T111:U111"/>
    <mergeCell ref="T102:U102"/>
    <mergeCell ref="T103:U103"/>
    <mergeCell ref="T104:U104"/>
    <mergeCell ref="T105:U105"/>
    <mergeCell ref="T106:U106"/>
    <mergeCell ref="T97:U97"/>
    <mergeCell ref="T98:U98"/>
    <mergeCell ref="T99:U99"/>
    <mergeCell ref="T100:U100"/>
    <mergeCell ref="T101:U101"/>
    <mergeCell ref="T92:U92"/>
    <mergeCell ref="T93:U93"/>
    <mergeCell ref="T94:U94"/>
    <mergeCell ref="T95:U95"/>
    <mergeCell ref="T96:U96"/>
    <mergeCell ref="T87:U87"/>
    <mergeCell ref="T88:U88"/>
    <mergeCell ref="T89:U89"/>
    <mergeCell ref="T90:U90"/>
    <mergeCell ref="T91:U91"/>
    <mergeCell ref="T82:U82"/>
    <mergeCell ref="T83:U83"/>
    <mergeCell ref="T84:U84"/>
    <mergeCell ref="T85:U85"/>
    <mergeCell ref="T86:U86"/>
    <mergeCell ref="T77:U77"/>
    <mergeCell ref="T78:U78"/>
    <mergeCell ref="T79:U79"/>
    <mergeCell ref="T80:U80"/>
    <mergeCell ref="T81:U81"/>
    <mergeCell ref="T72:U72"/>
    <mergeCell ref="T73:U73"/>
    <mergeCell ref="T74:U74"/>
    <mergeCell ref="T75:U75"/>
    <mergeCell ref="T76:U76"/>
    <mergeCell ref="T67:U67"/>
    <mergeCell ref="T68:U68"/>
    <mergeCell ref="T69:U69"/>
    <mergeCell ref="T70:U70"/>
    <mergeCell ref="T71:U71"/>
    <mergeCell ref="T62:U62"/>
    <mergeCell ref="T63:U63"/>
    <mergeCell ref="T64:U64"/>
    <mergeCell ref="T65:U65"/>
    <mergeCell ref="T66:U66"/>
    <mergeCell ref="T57:U57"/>
    <mergeCell ref="T58:U58"/>
    <mergeCell ref="T59:U59"/>
    <mergeCell ref="T60:U60"/>
    <mergeCell ref="T61:U6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56:U56"/>
    <mergeCell ref="R177:S177"/>
    <mergeCell ref="R178:S178"/>
    <mergeCell ref="R179:S179"/>
    <mergeCell ref="R180:S180"/>
    <mergeCell ref="R181:S181"/>
    <mergeCell ref="R172:S172"/>
    <mergeCell ref="R173:S173"/>
    <mergeCell ref="R174:S174"/>
    <mergeCell ref="R175:S175"/>
    <mergeCell ref="R176:S176"/>
    <mergeCell ref="R167:S167"/>
    <mergeCell ref="R168:S168"/>
    <mergeCell ref="R169:S169"/>
    <mergeCell ref="R170:S170"/>
    <mergeCell ref="R171:S171"/>
    <mergeCell ref="R199:S199"/>
    <mergeCell ref="R200:S200"/>
    <mergeCell ref="R192:S192"/>
    <mergeCell ref="R193:S193"/>
    <mergeCell ref="R194:S194"/>
    <mergeCell ref="R195:S195"/>
    <mergeCell ref="R196:S196"/>
    <mergeCell ref="R187:S187"/>
    <mergeCell ref="R188:S188"/>
    <mergeCell ref="R189:S189"/>
    <mergeCell ref="R190:S190"/>
    <mergeCell ref="R191:S191"/>
    <mergeCell ref="R182:S182"/>
    <mergeCell ref="R183:S183"/>
    <mergeCell ref="R184:S184"/>
    <mergeCell ref="R185:S185"/>
    <mergeCell ref="R186:S186"/>
    <mergeCell ref="R162:S162"/>
    <mergeCell ref="R163:S163"/>
    <mergeCell ref="R164:S164"/>
    <mergeCell ref="R165:S165"/>
    <mergeCell ref="R166:S166"/>
    <mergeCell ref="R157:S157"/>
    <mergeCell ref="R158:S158"/>
    <mergeCell ref="R159:S159"/>
    <mergeCell ref="R160:S160"/>
    <mergeCell ref="R161:S161"/>
    <mergeCell ref="R152:S152"/>
    <mergeCell ref="R153:S153"/>
    <mergeCell ref="R154:S154"/>
    <mergeCell ref="R155:S155"/>
    <mergeCell ref="R156:S156"/>
    <mergeCell ref="R147:S147"/>
    <mergeCell ref="R148:S148"/>
    <mergeCell ref="R149:S149"/>
    <mergeCell ref="R150:S150"/>
    <mergeCell ref="R151:S151"/>
    <mergeCell ref="R142:S142"/>
    <mergeCell ref="R143:S143"/>
    <mergeCell ref="R144:S144"/>
    <mergeCell ref="R145:S145"/>
    <mergeCell ref="R146:S146"/>
    <mergeCell ref="R137:S137"/>
    <mergeCell ref="R138:S138"/>
    <mergeCell ref="R139:S139"/>
    <mergeCell ref="R140:S140"/>
    <mergeCell ref="R141:S141"/>
    <mergeCell ref="R132:S132"/>
    <mergeCell ref="R133:S133"/>
    <mergeCell ref="R134:S134"/>
    <mergeCell ref="R135:S135"/>
    <mergeCell ref="R136:S136"/>
    <mergeCell ref="R127:S127"/>
    <mergeCell ref="R128:S128"/>
    <mergeCell ref="R129:S129"/>
    <mergeCell ref="R130:S130"/>
    <mergeCell ref="R131:S131"/>
    <mergeCell ref="R122:S122"/>
    <mergeCell ref="R123:S123"/>
    <mergeCell ref="R124:S124"/>
    <mergeCell ref="R125:S125"/>
    <mergeCell ref="R126:S126"/>
    <mergeCell ref="R117:S117"/>
    <mergeCell ref="R118:S118"/>
    <mergeCell ref="R119:S119"/>
    <mergeCell ref="R120:S120"/>
    <mergeCell ref="R121:S121"/>
    <mergeCell ref="R112:S112"/>
    <mergeCell ref="R113:S113"/>
    <mergeCell ref="R114:S114"/>
    <mergeCell ref="R115:S115"/>
    <mergeCell ref="R116:S116"/>
    <mergeCell ref="R107:S107"/>
    <mergeCell ref="R108:S108"/>
    <mergeCell ref="R109:S109"/>
    <mergeCell ref="R110:S110"/>
    <mergeCell ref="R111:S111"/>
    <mergeCell ref="R102:S102"/>
    <mergeCell ref="R103:S103"/>
    <mergeCell ref="R104:S104"/>
    <mergeCell ref="R105:S105"/>
    <mergeCell ref="R106:S106"/>
    <mergeCell ref="R97:S97"/>
    <mergeCell ref="R98:S98"/>
    <mergeCell ref="R99:S99"/>
    <mergeCell ref="R100:S100"/>
    <mergeCell ref="R101:S101"/>
    <mergeCell ref="R92:S92"/>
    <mergeCell ref="R93:S93"/>
    <mergeCell ref="R94:S94"/>
    <mergeCell ref="R95:S95"/>
    <mergeCell ref="R96:S96"/>
    <mergeCell ref="R87:S87"/>
    <mergeCell ref="R88:S88"/>
    <mergeCell ref="R89:S89"/>
    <mergeCell ref="R90:S90"/>
    <mergeCell ref="R91:S91"/>
    <mergeCell ref="R82:S82"/>
    <mergeCell ref="R83:S83"/>
    <mergeCell ref="R84:S84"/>
    <mergeCell ref="R85:S85"/>
    <mergeCell ref="R86:S86"/>
    <mergeCell ref="R77:S77"/>
    <mergeCell ref="R78:S78"/>
    <mergeCell ref="R79:S79"/>
    <mergeCell ref="R80:S80"/>
    <mergeCell ref="R81:S81"/>
    <mergeCell ref="R72:S72"/>
    <mergeCell ref="R73:S73"/>
    <mergeCell ref="R74:S74"/>
    <mergeCell ref="R75:S75"/>
    <mergeCell ref="R76:S76"/>
    <mergeCell ref="R67:S67"/>
    <mergeCell ref="R68:S68"/>
    <mergeCell ref="R69:S69"/>
    <mergeCell ref="R70:S70"/>
    <mergeCell ref="R71:S71"/>
    <mergeCell ref="R62:S62"/>
    <mergeCell ref="R63:S63"/>
    <mergeCell ref="R64:S64"/>
    <mergeCell ref="R65:S65"/>
    <mergeCell ref="R66:S66"/>
    <mergeCell ref="R57:S57"/>
    <mergeCell ref="R58:S58"/>
    <mergeCell ref="R59:S59"/>
    <mergeCell ref="R60:S60"/>
    <mergeCell ref="R61:S61"/>
    <mergeCell ref="P202:Q202"/>
    <mergeCell ref="R42:S42"/>
    <mergeCell ref="R43:S43"/>
    <mergeCell ref="R44:S44"/>
    <mergeCell ref="R45:S45"/>
    <mergeCell ref="R46:S46"/>
    <mergeCell ref="R47:S47"/>
    <mergeCell ref="R48:S48"/>
    <mergeCell ref="R49:S49"/>
    <mergeCell ref="R50:S50"/>
    <mergeCell ref="R51:S51"/>
    <mergeCell ref="R52:S52"/>
    <mergeCell ref="R53:S53"/>
    <mergeCell ref="R54:S54"/>
    <mergeCell ref="R55:S55"/>
    <mergeCell ref="R56:S56"/>
    <mergeCell ref="P197:Q197"/>
    <mergeCell ref="P198:Q198"/>
    <mergeCell ref="P199:Q199"/>
    <mergeCell ref="P200:Q200"/>
    <mergeCell ref="P201:Q201"/>
    <mergeCell ref="P192:Q192"/>
    <mergeCell ref="P196:Q196"/>
    <mergeCell ref="P187:Q187"/>
    <mergeCell ref="P188:Q188"/>
    <mergeCell ref="P189:Q189"/>
    <mergeCell ref="P190:Q190"/>
    <mergeCell ref="P191:Q191"/>
    <mergeCell ref="P182:Q182"/>
    <mergeCell ref="P183:Q183"/>
    <mergeCell ref="P184:Q184"/>
    <mergeCell ref="P185:Q185"/>
    <mergeCell ref="P186:Q186"/>
    <mergeCell ref="P177:Q177"/>
    <mergeCell ref="P178:Q178"/>
    <mergeCell ref="P179:Q179"/>
    <mergeCell ref="P180:Q180"/>
    <mergeCell ref="P181:Q181"/>
    <mergeCell ref="P172:Q172"/>
    <mergeCell ref="P173:Q173"/>
    <mergeCell ref="P174:Q174"/>
    <mergeCell ref="P175:Q175"/>
    <mergeCell ref="P176:Q176"/>
    <mergeCell ref="P167:Q167"/>
    <mergeCell ref="P168:Q168"/>
    <mergeCell ref="P169:Q169"/>
    <mergeCell ref="P170:Q170"/>
    <mergeCell ref="P171:Q171"/>
    <mergeCell ref="P162:Q162"/>
    <mergeCell ref="P163:Q163"/>
    <mergeCell ref="P164:Q164"/>
    <mergeCell ref="P165:Q165"/>
    <mergeCell ref="P166:Q166"/>
    <mergeCell ref="P157:Q157"/>
    <mergeCell ref="P158:Q158"/>
    <mergeCell ref="P159:Q159"/>
    <mergeCell ref="P160:Q160"/>
    <mergeCell ref="P161:Q161"/>
    <mergeCell ref="P152:Q152"/>
    <mergeCell ref="P153:Q153"/>
    <mergeCell ref="P154:Q154"/>
    <mergeCell ref="P155:Q155"/>
    <mergeCell ref="P156:Q156"/>
    <mergeCell ref="P147:Q147"/>
    <mergeCell ref="P148:Q148"/>
    <mergeCell ref="P149:Q149"/>
    <mergeCell ref="P150:Q150"/>
    <mergeCell ref="P151:Q151"/>
    <mergeCell ref="P142:Q142"/>
    <mergeCell ref="P143:Q143"/>
    <mergeCell ref="P144:Q144"/>
    <mergeCell ref="P145:Q145"/>
    <mergeCell ref="P146:Q146"/>
    <mergeCell ref="P137:Q137"/>
    <mergeCell ref="P138:Q138"/>
    <mergeCell ref="P139:Q139"/>
    <mergeCell ref="P140:Q140"/>
    <mergeCell ref="P141:Q141"/>
    <mergeCell ref="P132:Q132"/>
    <mergeCell ref="P133:Q133"/>
    <mergeCell ref="P134:Q134"/>
    <mergeCell ref="P135:Q135"/>
    <mergeCell ref="P136:Q136"/>
    <mergeCell ref="P127:Q127"/>
    <mergeCell ref="P128:Q128"/>
    <mergeCell ref="P129:Q129"/>
    <mergeCell ref="P130:Q130"/>
    <mergeCell ref="P131:Q131"/>
    <mergeCell ref="P122:Q122"/>
    <mergeCell ref="P123:Q123"/>
    <mergeCell ref="P124:Q124"/>
    <mergeCell ref="P125:Q125"/>
    <mergeCell ref="P126:Q126"/>
    <mergeCell ref="P117:Q117"/>
    <mergeCell ref="P118:Q118"/>
    <mergeCell ref="P119:Q119"/>
    <mergeCell ref="P120:Q120"/>
    <mergeCell ref="P121:Q121"/>
    <mergeCell ref="P112:Q112"/>
    <mergeCell ref="P113:Q113"/>
    <mergeCell ref="P114:Q114"/>
    <mergeCell ref="P115:Q115"/>
    <mergeCell ref="P116:Q116"/>
    <mergeCell ref="P107:Q107"/>
    <mergeCell ref="P108:Q108"/>
    <mergeCell ref="P109:Q109"/>
    <mergeCell ref="P110:Q110"/>
    <mergeCell ref="P111:Q111"/>
    <mergeCell ref="P102:Q102"/>
    <mergeCell ref="P103:Q103"/>
    <mergeCell ref="P104:Q104"/>
    <mergeCell ref="P105:Q105"/>
    <mergeCell ref="P106:Q106"/>
    <mergeCell ref="P97:Q97"/>
    <mergeCell ref="P98:Q98"/>
    <mergeCell ref="P99:Q99"/>
    <mergeCell ref="P100:Q100"/>
    <mergeCell ref="P101:Q101"/>
    <mergeCell ref="P92:Q92"/>
    <mergeCell ref="P93:Q93"/>
    <mergeCell ref="P94:Q94"/>
    <mergeCell ref="P95:Q95"/>
    <mergeCell ref="P96:Q96"/>
    <mergeCell ref="P87:Q87"/>
    <mergeCell ref="P88:Q88"/>
    <mergeCell ref="P89:Q89"/>
    <mergeCell ref="P90:Q90"/>
    <mergeCell ref="P91:Q91"/>
    <mergeCell ref="P82:Q82"/>
    <mergeCell ref="P83:Q83"/>
    <mergeCell ref="P84:Q84"/>
    <mergeCell ref="P85:Q85"/>
    <mergeCell ref="P86:Q86"/>
    <mergeCell ref="P77:Q77"/>
    <mergeCell ref="P78:Q78"/>
    <mergeCell ref="P79:Q79"/>
    <mergeCell ref="P80:Q80"/>
    <mergeCell ref="P81:Q81"/>
    <mergeCell ref="P72:Q72"/>
    <mergeCell ref="P73:Q73"/>
    <mergeCell ref="P74:Q74"/>
    <mergeCell ref="P75:Q75"/>
    <mergeCell ref="P76:Q76"/>
    <mergeCell ref="P67:Q67"/>
    <mergeCell ref="P68:Q68"/>
    <mergeCell ref="P69:Q69"/>
    <mergeCell ref="P70:Q70"/>
    <mergeCell ref="P71:Q71"/>
    <mergeCell ref="P62:Q62"/>
    <mergeCell ref="P63:Q63"/>
    <mergeCell ref="P64:Q64"/>
    <mergeCell ref="P65:Q65"/>
    <mergeCell ref="P66:Q66"/>
    <mergeCell ref="P57:Q57"/>
    <mergeCell ref="P58:Q58"/>
    <mergeCell ref="P59:Q59"/>
    <mergeCell ref="P60:Q60"/>
    <mergeCell ref="P61:Q61"/>
    <mergeCell ref="P42:Q42"/>
    <mergeCell ref="P43:Q43"/>
    <mergeCell ref="P44:Q44"/>
    <mergeCell ref="P45:Q45"/>
    <mergeCell ref="P46:Q46"/>
    <mergeCell ref="P47:Q47"/>
    <mergeCell ref="P48:Q48"/>
    <mergeCell ref="P49:Q49"/>
    <mergeCell ref="P50:Q50"/>
    <mergeCell ref="P51:Q51"/>
    <mergeCell ref="P52:Q52"/>
    <mergeCell ref="P53:Q53"/>
    <mergeCell ref="P54:Q54"/>
    <mergeCell ref="P55:Q55"/>
    <mergeCell ref="P56:Q56"/>
    <mergeCell ref="L177:M177"/>
    <mergeCell ref="L178:M178"/>
    <mergeCell ref="L179:M179"/>
    <mergeCell ref="L180:M180"/>
    <mergeCell ref="L181:M181"/>
    <mergeCell ref="L172:M172"/>
    <mergeCell ref="L173:M173"/>
    <mergeCell ref="L174:M174"/>
    <mergeCell ref="L175:M175"/>
    <mergeCell ref="L176:M176"/>
    <mergeCell ref="L167:M167"/>
    <mergeCell ref="L168:M168"/>
    <mergeCell ref="L169:M169"/>
    <mergeCell ref="L170:M170"/>
    <mergeCell ref="L171:M171"/>
    <mergeCell ref="L162:M162"/>
    <mergeCell ref="L163:M163"/>
    <mergeCell ref="L164:M164"/>
    <mergeCell ref="L165:M165"/>
    <mergeCell ref="L166:M166"/>
    <mergeCell ref="L157:M157"/>
    <mergeCell ref="L158:M158"/>
    <mergeCell ref="L159:M159"/>
    <mergeCell ref="L160:M160"/>
    <mergeCell ref="L161:M161"/>
    <mergeCell ref="L152:M152"/>
    <mergeCell ref="L153:M153"/>
    <mergeCell ref="L154:M154"/>
    <mergeCell ref="L155:M155"/>
    <mergeCell ref="L156:M156"/>
    <mergeCell ref="L147:M147"/>
    <mergeCell ref="L148:M148"/>
    <mergeCell ref="L149:M149"/>
    <mergeCell ref="L150:M150"/>
    <mergeCell ref="L151:M151"/>
    <mergeCell ref="L142:M142"/>
    <mergeCell ref="L143:M143"/>
    <mergeCell ref="L144:M144"/>
    <mergeCell ref="L145:M145"/>
    <mergeCell ref="L146:M146"/>
    <mergeCell ref="L137:M137"/>
    <mergeCell ref="L138:M138"/>
    <mergeCell ref="L139:M139"/>
    <mergeCell ref="L140:M140"/>
    <mergeCell ref="L141:M141"/>
    <mergeCell ref="L132:M132"/>
    <mergeCell ref="L133:M133"/>
    <mergeCell ref="L134:M134"/>
    <mergeCell ref="L135:M135"/>
    <mergeCell ref="L136:M136"/>
    <mergeCell ref="L127:M127"/>
    <mergeCell ref="L128:M128"/>
    <mergeCell ref="L129:M129"/>
    <mergeCell ref="L130:M130"/>
    <mergeCell ref="L131:M131"/>
    <mergeCell ref="L122:M122"/>
    <mergeCell ref="L123:M123"/>
    <mergeCell ref="L124:M124"/>
    <mergeCell ref="L125:M125"/>
    <mergeCell ref="L126:M126"/>
    <mergeCell ref="L117:M117"/>
    <mergeCell ref="L118:M118"/>
    <mergeCell ref="L119:M119"/>
    <mergeCell ref="L120:M120"/>
    <mergeCell ref="L121:M121"/>
    <mergeCell ref="L112:M112"/>
    <mergeCell ref="L113:M113"/>
    <mergeCell ref="L114:M114"/>
    <mergeCell ref="L115:M115"/>
    <mergeCell ref="L116:M116"/>
    <mergeCell ref="L107:M107"/>
    <mergeCell ref="L108:M108"/>
    <mergeCell ref="L109:M109"/>
    <mergeCell ref="L110:M110"/>
    <mergeCell ref="L111:M111"/>
    <mergeCell ref="L75:M75"/>
    <mergeCell ref="L76:M76"/>
    <mergeCell ref="L67:M67"/>
    <mergeCell ref="L68:M68"/>
    <mergeCell ref="L69:M69"/>
    <mergeCell ref="L70:M70"/>
    <mergeCell ref="L71:M71"/>
    <mergeCell ref="L102:M102"/>
    <mergeCell ref="L103:M103"/>
    <mergeCell ref="L104:M104"/>
    <mergeCell ref="L105:M105"/>
    <mergeCell ref="L106:M106"/>
    <mergeCell ref="L97:M97"/>
    <mergeCell ref="L98:M98"/>
    <mergeCell ref="L99:M99"/>
    <mergeCell ref="L100:M100"/>
    <mergeCell ref="L101:M101"/>
    <mergeCell ref="L92:M92"/>
    <mergeCell ref="L93:M93"/>
    <mergeCell ref="L94:M94"/>
    <mergeCell ref="L95:M95"/>
    <mergeCell ref="L96:M96"/>
    <mergeCell ref="L87:M87"/>
    <mergeCell ref="L88:M88"/>
    <mergeCell ref="L89:M89"/>
    <mergeCell ref="L90:M90"/>
    <mergeCell ref="L91:M91"/>
    <mergeCell ref="L57:M57"/>
    <mergeCell ref="L58:M58"/>
    <mergeCell ref="L59:M59"/>
    <mergeCell ref="L60:M60"/>
    <mergeCell ref="L61:M6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H203:I203"/>
    <mergeCell ref="H204:I204"/>
    <mergeCell ref="H205:I205"/>
    <mergeCell ref="H198:I198"/>
    <mergeCell ref="H199:I199"/>
    <mergeCell ref="H200:I200"/>
    <mergeCell ref="H201:I201"/>
    <mergeCell ref="H202:I202"/>
    <mergeCell ref="H193:I193"/>
    <mergeCell ref="H194:I194"/>
    <mergeCell ref="H195:I195"/>
    <mergeCell ref="H196:I196"/>
    <mergeCell ref="H197:I197"/>
    <mergeCell ref="H188:I188"/>
    <mergeCell ref="L62:M62"/>
    <mergeCell ref="L63:M63"/>
    <mergeCell ref="L64:M64"/>
    <mergeCell ref="L65:M65"/>
    <mergeCell ref="L66:M66"/>
    <mergeCell ref="L82:M82"/>
    <mergeCell ref="L83:M83"/>
    <mergeCell ref="L84:M84"/>
    <mergeCell ref="L85:M85"/>
    <mergeCell ref="L86:M86"/>
    <mergeCell ref="L77:M77"/>
    <mergeCell ref="L78:M78"/>
    <mergeCell ref="L79:M79"/>
    <mergeCell ref="L80:M80"/>
    <mergeCell ref="L81:M81"/>
    <mergeCell ref="L72:M72"/>
    <mergeCell ref="L73:M73"/>
    <mergeCell ref="L74:M74"/>
    <mergeCell ref="H189:I189"/>
    <mergeCell ref="H190:I190"/>
    <mergeCell ref="H191:I191"/>
    <mergeCell ref="H192:I192"/>
    <mergeCell ref="H183:I183"/>
    <mergeCell ref="H184:I184"/>
    <mergeCell ref="H185:I185"/>
    <mergeCell ref="H186:I186"/>
    <mergeCell ref="H187:I187"/>
    <mergeCell ref="H178:I178"/>
    <mergeCell ref="H179:I179"/>
    <mergeCell ref="H180:I180"/>
    <mergeCell ref="H181:I181"/>
    <mergeCell ref="H182:I182"/>
    <mergeCell ref="H173:I173"/>
    <mergeCell ref="H174:I174"/>
    <mergeCell ref="H175:I175"/>
    <mergeCell ref="H176:I176"/>
    <mergeCell ref="H177:I177"/>
    <mergeCell ref="H168:I168"/>
    <mergeCell ref="H169:I169"/>
    <mergeCell ref="H170:I170"/>
    <mergeCell ref="H171:I171"/>
    <mergeCell ref="H172:I172"/>
    <mergeCell ref="H163:I163"/>
    <mergeCell ref="H164:I164"/>
    <mergeCell ref="H165:I165"/>
    <mergeCell ref="H166:I166"/>
    <mergeCell ref="H167:I167"/>
    <mergeCell ref="H158:I158"/>
    <mergeCell ref="H159:I159"/>
    <mergeCell ref="H160:I160"/>
    <mergeCell ref="H161:I161"/>
    <mergeCell ref="H162:I162"/>
    <mergeCell ref="H153:I153"/>
    <mergeCell ref="H154:I154"/>
    <mergeCell ref="H155:I155"/>
    <mergeCell ref="H156:I156"/>
    <mergeCell ref="H157:I157"/>
    <mergeCell ref="H148:I148"/>
    <mergeCell ref="H149:I149"/>
    <mergeCell ref="H150:I150"/>
    <mergeCell ref="H151:I151"/>
    <mergeCell ref="H152:I152"/>
    <mergeCell ref="H143:I143"/>
    <mergeCell ref="H144:I144"/>
    <mergeCell ref="H145:I145"/>
    <mergeCell ref="H146:I146"/>
    <mergeCell ref="H147:I147"/>
    <mergeCell ref="H138:I138"/>
    <mergeCell ref="H139:I139"/>
    <mergeCell ref="H140:I140"/>
    <mergeCell ref="H141:I141"/>
    <mergeCell ref="H142:I142"/>
    <mergeCell ref="H133:I133"/>
    <mergeCell ref="H134:I134"/>
    <mergeCell ref="H135:I135"/>
    <mergeCell ref="H136:I136"/>
    <mergeCell ref="H137:I137"/>
    <mergeCell ref="H128:I128"/>
    <mergeCell ref="H129:I129"/>
    <mergeCell ref="H130:I130"/>
    <mergeCell ref="H131:I131"/>
    <mergeCell ref="H132:I132"/>
    <mergeCell ref="H123:I123"/>
    <mergeCell ref="H124:I124"/>
    <mergeCell ref="H125:I125"/>
    <mergeCell ref="H126:I126"/>
    <mergeCell ref="H127:I127"/>
    <mergeCell ref="H118:I118"/>
    <mergeCell ref="H119:I119"/>
    <mergeCell ref="H120:I120"/>
    <mergeCell ref="H121:I121"/>
    <mergeCell ref="H122:I122"/>
    <mergeCell ref="H113:I113"/>
    <mergeCell ref="H114:I114"/>
    <mergeCell ref="H115:I115"/>
    <mergeCell ref="H116:I116"/>
    <mergeCell ref="H117:I117"/>
    <mergeCell ref="H108:I108"/>
    <mergeCell ref="H109:I109"/>
    <mergeCell ref="H110:I110"/>
    <mergeCell ref="H111:I111"/>
    <mergeCell ref="H112:I112"/>
    <mergeCell ref="H103:I103"/>
    <mergeCell ref="H104:I104"/>
    <mergeCell ref="H105:I105"/>
    <mergeCell ref="H106:I106"/>
    <mergeCell ref="H107:I107"/>
    <mergeCell ref="H98:I98"/>
    <mergeCell ref="H99:I99"/>
    <mergeCell ref="H100:I100"/>
    <mergeCell ref="H101:I101"/>
    <mergeCell ref="H102:I102"/>
    <mergeCell ref="H93:I93"/>
    <mergeCell ref="H94:I94"/>
    <mergeCell ref="H95:I95"/>
    <mergeCell ref="H96:I96"/>
    <mergeCell ref="H97:I97"/>
    <mergeCell ref="H88:I88"/>
    <mergeCell ref="H89:I89"/>
    <mergeCell ref="H90:I90"/>
    <mergeCell ref="H91:I91"/>
    <mergeCell ref="H92:I92"/>
    <mergeCell ref="H83:I83"/>
    <mergeCell ref="H84:I84"/>
    <mergeCell ref="H85:I85"/>
    <mergeCell ref="H86:I86"/>
    <mergeCell ref="H87:I87"/>
    <mergeCell ref="H78:I78"/>
    <mergeCell ref="H79:I79"/>
    <mergeCell ref="H80:I80"/>
    <mergeCell ref="H81:I81"/>
    <mergeCell ref="H82:I82"/>
    <mergeCell ref="H73:I73"/>
    <mergeCell ref="H74:I74"/>
    <mergeCell ref="H75:I75"/>
    <mergeCell ref="H76:I76"/>
    <mergeCell ref="H77:I77"/>
    <mergeCell ref="H68:I68"/>
    <mergeCell ref="H69:I69"/>
    <mergeCell ref="H70:I70"/>
    <mergeCell ref="H71:I71"/>
    <mergeCell ref="H72:I72"/>
    <mergeCell ref="H63:I63"/>
    <mergeCell ref="H64:I64"/>
    <mergeCell ref="H65:I65"/>
    <mergeCell ref="H66:I66"/>
    <mergeCell ref="H67:I67"/>
    <mergeCell ref="H58:I58"/>
    <mergeCell ref="H59:I59"/>
    <mergeCell ref="H60:I60"/>
    <mergeCell ref="H61:I61"/>
    <mergeCell ref="H62:I62"/>
    <mergeCell ref="H53:I53"/>
    <mergeCell ref="H54:I54"/>
    <mergeCell ref="H55:I55"/>
    <mergeCell ref="H56:I56"/>
    <mergeCell ref="H57:I57"/>
    <mergeCell ref="E202:G202"/>
    <mergeCell ref="E203:G203"/>
    <mergeCell ref="E185:G185"/>
    <mergeCell ref="E186:G186"/>
    <mergeCell ref="E177:G177"/>
    <mergeCell ref="E178:G178"/>
    <mergeCell ref="E179:G179"/>
    <mergeCell ref="E180:G180"/>
    <mergeCell ref="E181:G181"/>
    <mergeCell ref="E172:G172"/>
    <mergeCell ref="E173:G173"/>
    <mergeCell ref="E174:G174"/>
    <mergeCell ref="E175:G175"/>
    <mergeCell ref="E176:G176"/>
    <mergeCell ref="E167:G167"/>
    <mergeCell ref="E168:G168"/>
    <mergeCell ref="E169:G169"/>
    <mergeCell ref="E170:G170"/>
    <mergeCell ref="E171:G171"/>
    <mergeCell ref="E204:G204"/>
    <mergeCell ref="E205:G205"/>
    <mergeCell ref="H41:I41"/>
    <mergeCell ref="H42:I42"/>
    <mergeCell ref="H43:I43"/>
    <mergeCell ref="H44:I44"/>
    <mergeCell ref="H45:I45"/>
    <mergeCell ref="H46:I46"/>
    <mergeCell ref="H47:I47"/>
    <mergeCell ref="H48:I48"/>
    <mergeCell ref="H49:I49"/>
    <mergeCell ref="H50:I50"/>
    <mergeCell ref="H51:I51"/>
    <mergeCell ref="H52:I52"/>
    <mergeCell ref="E197:G197"/>
    <mergeCell ref="E198:G198"/>
    <mergeCell ref="E199:G199"/>
    <mergeCell ref="E200:G200"/>
    <mergeCell ref="E201:G201"/>
    <mergeCell ref="E192:G192"/>
    <mergeCell ref="E193:G193"/>
    <mergeCell ref="E194:G194"/>
    <mergeCell ref="E195:G195"/>
    <mergeCell ref="E196:G196"/>
    <mergeCell ref="E187:G187"/>
    <mergeCell ref="E188:G188"/>
    <mergeCell ref="E189:G189"/>
    <mergeCell ref="E190:G190"/>
    <mergeCell ref="E191:G191"/>
    <mergeCell ref="E182:G182"/>
    <mergeCell ref="E183:G183"/>
    <mergeCell ref="E184:G184"/>
    <mergeCell ref="E162:G162"/>
    <mergeCell ref="E163:G163"/>
    <mergeCell ref="E164:G164"/>
    <mergeCell ref="E165:G165"/>
    <mergeCell ref="E166:G166"/>
    <mergeCell ref="E157:G157"/>
    <mergeCell ref="E158:G158"/>
    <mergeCell ref="E159:G159"/>
    <mergeCell ref="E160:G160"/>
    <mergeCell ref="E161:G161"/>
    <mergeCell ref="E152:G152"/>
    <mergeCell ref="E153:G153"/>
    <mergeCell ref="E154:G154"/>
    <mergeCell ref="E155:G155"/>
    <mergeCell ref="E156:G156"/>
    <mergeCell ref="E147:G147"/>
    <mergeCell ref="E148:G148"/>
    <mergeCell ref="E149:G149"/>
    <mergeCell ref="E150:G150"/>
    <mergeCell ref="E151:G151"/>
    <mergeCell ref="E142:G142"/>
    <mergeCell ref="E143:G143"/>
    <mergeCell ref="E144:G144"/>
    <mergeCell ref="E145:G145"/>
    <mergeCell ref="E146:G146"/>
    <mergeCell ref="E137:G137"/>
    <mergeCell ref="E138:G138"/>
    <mergeCell ref="E139:G139"/>
    <mergeCell ref="E140:G140"/>
    <mergeCell ref="E141:G141"/>
    <mergeCell ref="E132:G132"/>
    <mergeCell ref="E133:G133"/>
    <mergeCell ref="E134:G134"/>
    <mergeCell ref="E135:G135"/>
    <mergeCell ref="E136:G136"/>
    <mergeCell ref="E127:G127"/>
    <mergeCell ref="E128:G128"/>
    <mergeCell ref="E129:G129"/>
    <mergeCell ref="E130:G130"/>
    <mergeCell ref="E131:G131"/>
    <mergeCell ref="E122:G122"/>
    <mergeCell ref="E123:G123"/>
    <mergeCell ref="E124:G124"/>
    <mergeCell ref="E125:G125"/>
    <mergeCell ref="E126:G126"/>
    <mergeCell ref="E117:G117"/>
    <mergeCell ref="E118:G118"/>
    <mergeCell ref="E119:G119"/>
    <mergeCell ref="E120:G120"/>
    <mergeCell ref="E121:G121"/>
    <mergeCell ref="E112:G112"/>
    <mergeCell ref="E113:G113"/>
    <mergeCell ref="E114:G114"/>
    <mergeCell ref="E115:G115"/>
    <mergeCell ref="E116:G116"/>
    <mergeCell ref="E107:G107"/>
    <mergeCell ref="E108:G108"/>
    <mergeCell ref="E109:G109"/>
    <mergeCell ref="E110:G110"/>
    <mergeCell ref="E111:G111"/>
    <mergeCell ref="E93:G93"/>
    <mergeCell ref="E94:G94"/>
    <mergeCell ref="E95:G95"/>
    <mergeCell ref="E96:G96"/>
    <mergeCell ref="E61:G61"/>
    <mergeCell ref="E56:G56"/>
    <mergeCell ref="E87:G87"/>
    <mergeCell ref="E88:G88"/>
    <mergeCell ref="E89:G89"/>
    <mergeCell ref="E90:G90"/>
    <mergeCell ref="E91:G91"/>
    <mergeCell ref="E82:G82"/>
    <mergeCell ref="E83:G83"/>
    <mergeCell ref="E84:G84"/>
    <mergeCell ref="E85:G85"/>
    <mergeCell ref="E86:G86"/>
    <mergeCell ref="E77:G77"/>
    <mergeCell ref="E78:G78"/>
    <mergeCell ref="E79:G79"/>
    <mergeCell ref="E80:G80"/>
    <mergeCell ref="E81:G81"/>
    <mergeCell ref="E55:G55"/>
    <mergeCell ref="E57:G57"/>
    <mergeCell ref="E58:G58"/>
    <mergeCell ref="E72:G72"/>
    <mergeCell ref="E73:G73"/>
    <mergeCell ref="E74:G74"/>
    <mergeCell ref="E75:G75"/>
    <mergeCell ref="E76:G76"/>
    <mergeCell ref="D211:L211"/>
    <mergeCell ref="M211:Y211"/>
    <mergeCell ref="M212:Y212"/>
    <mergeCell ref="E67:G67"/>
    <mergeCell ref="E68:G68"/>
    <mergeCell ref="E69:G69"/>
    <mergeCell ref="E70:G70"/>
    <mergeCell ref="E71:G71"/>
    <mergeCell ref="E62:G62"/>
    <mergeCell ref="E63:G63"/>
    <mergeCell ref="E64:G64"/>
    <mergeCell ref="E65:G65"/>
    <mergeCell ref="E66:G66"/>
    <mergeCell ref="E102:G102"/>
    <mergeCell ref="E103:G103"/>
    <mergeCell ref="E104:G104"/>
    <mergeCell ref="E105:G105"/>
    <mergeCell ref="E106:G106"/>
    <mergeCell ref="E97:G97"/>
    <mergeCell ref="E98:G98"/>
    <mergeCell ref="E99:G99"/>
    <mergeCell ref="E100:G100"/>
    <mergeCell ref="E101:G101"/>
    <mergeCell ref="E92:G92"/>
    <mergeCell ref="V10:Y10"/>
    <mergeCell ref="X9:Y9"/>
    <mergeCell ref="V16:Y16"/>
    <mergeCell ref="V18:Y18"/>
    <mergeCell ref="V17:Y17"/>
    <mergeCell ref="V36:Y36"/>
    <mergeCell ref="J40:Y40"/>
    <mergeCell ref="J41:K41"/>
    <mergeCell ref="L41:M41"/>
    <mergeCell ref="N41:O41"/>
    <mergeCell ref="P41:Q41"/>
    <mergeCell ref="R41:S41"/>
    <mergeCell ref="T41:U41"/>
    <mergeCell ref="V41:W41"/>
    <mergeCell ref="X41:Y41"/>
    <mergeCell ref="D40:I40"/>
    <mergeCell ref="V33:Y33"/>
    <mergeCell ref="V34:Y34"/>
    <mergeCell ref="E41:G41"/>
    <mergeCell ref="V35:Y35"/>
    <mergeCell ref="V24:Y24"/>
    <mergeCell ref="V11:Y11"/>
    <mergeCell ref="M214:Y214"/>
    <mergeCell ref="V21:Y21"/>
    <mergeCell ref="V22:Y22"/>
    <mergeCell ref="V23:Y23"/>
    <mergeCell ref="V25:Y25"/>
    <mergeCell ref="V26:Y26"/>
    <mergeCell ref="E59:G59"/>
    <mergeCell ref="E60:G60"/>
    <mergeCell ref="V19:Y19"/>
    <mergeCell ref="M217:Y217"/>
    <mergeCell ref="D217:L217"/>
    <mergeCell ref="D212:L212"/>
    <mergeCell ref="D213:L213"/>
    <mergeCell ref="D215:L215"/>
    <mergeCell ref="D216:L216"/>
    <mergeCell ref="M213:Y213"/>
    <mergeCell ref="D214:L214"/>
    <mergeCell ref="M215:Y215"/>
    <mergeCell ref="M216:Y216"/>
    <mergeCell ref="E42:G42"/>
    <mergeCell ref="E43:G43"/>
    <mergeCell ref="E44:G44"/>
    <mergeCell ref="E45:G45"/>
    <mergeCell ref="E46:G46"/>
    <mergeCell ref="E47:G47"/>
    <mergeCell ref="E48:G48"/>
    <mergeCell ref="E49:G49"/>
    <mergeCell ref="E50:G50"/>
    <mergeCell ref="E51:G51"/>
    <mergeCell ref="E52:G52"/>
    <mergeCell ref="E53:G53"/>
    <mergeCell ref="E54:G54"/>
  </mergeCells>
  <dataValidations count="6">
    <dataValidation type="date" operator="greaterThanOrEqual" allowBlank="1" showInputMessage="1" showErrorMessage="1" sqref="V10" xr:uid="{00000000-0002-0000-0500-000000000000}">
      <formula1>41275</formula1>
    </dataValidation>
    <dataValidation allowBlank="1" showInputMessage="1" showErrorMessage="1" promptTitle="Instructions" prompt="This value must be incremented when changes are made to the Configuration tab.  Likewise, the new version # must be noted wthin the PMT configuration to allow the PMT to identify outdated versions of the eForm at time of processing." sqref="X9:Y9" xr:uid="{00000000-0002-0000-0500-000002000000}"/>
    <dataValidation type="decimal" allowBlank="1" showInputMessage="1" showErrorMessage="1" sqref="V17:Y18 V20:Y24" xr:uid="{00000000-0002-0000-0500-000003000000}">
      <formula1>0</formula1>
      <formula2>999999999999</formula2>
    </dataValidation>
    <dataValidation type="whole" operator="greaterThanOrEqual" allowBlank="1" showInputMessage="1" showErrorMessage="1" sqref="V19:Y19" xr:uid="{00000000-0002-0000-0500-000004000000}">
      <formula1>1</formula1>
    </dataValidation>
    <dataValidation type="whole" allowBlank="1" showInputMessage="1" showErrorMessage="1" sqref="V25:Y26" xr:uid="{00000000-0002-0000-0500-000005000000}">
      <formula1>0</formula1>
      <formula2>999999999999</formula2>
    </dataValidation>
    <dataValidation operator="greaterThanOrEqual" allowBlank="1" showInputMessage="1" showErrorMessage="1" sqref="V11:Y11" xr:uid="{00000000-0002-0000-0500-000006000000}"/>
  </dataValidations>
  <pageMargins left="0.7" right="0.7" top="0.75" bottom="0.75" header="0.3" footer="0.3"/>
  <pageSetup scale="68" fitToHeight="0" orientation="portrait" r:id="rId1"/>
  <headerFooter>
    <oddFooter>&amp;R&amp;9&amp;P of &amp;N</oddFooter>
  </headerFooter>
  <rowBreaks count="2" manualBreakCount="2">
    <brk id="37" min="2" max="25" man="1"/>
    <brk id="206" min="2" max="25"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59999389629810485"/>
  </sheetPr>
  <dimension ref="A1:Z111"/>
  <sheetViews>
    <sheetView workbookViewId="0">
      <pane xSplit="3" ySplit="2" topLeftCell="D3" activePane="bottomRight" state="frozen"/>
      <selection activeCell="I2" sqref="I2:L2"/>
      <selection pane="topRight" activeCell="I2" sqref="I2:L2"/>
      <selection pane="bottomLeft" activeCell="I2" sqref="I2:L2"/>
      <selection pane="bottomRight" activeCell="I2" sqref="I2:L2"/>
    </sheetView>
  </sheetViews>
  <sheetFormatPr defaultRowHeight="12.75" x14ac:dyDescent="0.2"/>
  <cols>
    <col min="1" max="1" width="25" style="1" customWidth="1"/>
    <col min="2" max="2" width="16.7109375" style="1" customWidth="1"/>
    <col min="3" max="3" width="30.42578125" style="1" customWidth="1"/>
    <col min="4" max="4" width="16.5703125" style="1" customWidth="1"/>
    <col min="5" max="5" width="16.85546875" style="18" customWidth="1"/>
    <col min="6" max="6" width="43.42578125" style="1" customWidth="1"/>
    <col min="7" max="7" width="26.5703125" style="1" customWidth="1"/>
    <col min="8" max="8" width="24.140625" style="2" customWidth="1"/>
    <col min="9" max="9" width="21.28515625" style="2" customWidth="1"/>
    <col min="10" max="10" width="22" style="1" customWidth="1"/>
    <col min="11" max="11" width="19" style="1" customWidth="1"/>
    <col min="12" max="12" width="20.85546875" style="1" customWidth="1"/>
    <col min="13" max="13" width="19" style="1" customWidth="1"/>
    <col min="14" max="14" width="17" style="1" customWidth="1"/>
    <col min="15" max="15" width="20.7109375" style="1" customWidth="1"/>
    <col min="16" max="16" width="16.5703125" style="1" customWidth="1"/>
    <col min="17" max="17" width="20" style="1" bestFit="1" customWidth="1"/>
    <col min="18" max="18" width="20.28515625" style="1" bestFit="1" customWidth="1"/>
    <col min="19" max="19" width="22.28515625" style="1" customWidth="1"/>
    <col min="20" max="20" width="13.7109375" style="1" customWidth="1"/>
    <col min="21" max="21" width="12.28515625" style="1" customWidth="1"/>
    <col min="22" max="22" width="31.42578125" style="1" customWidth="1"/>
    <col min="23" max="23" width="31.140625" style="1" customWidth="1"/>
    <col min="24" max="24" width="32.5703125" style="1" bestFit="1" customWidth="1"/>
    <col min="25" max="25" width="23" style="1" customWidth="1"/>
    <col min="26" max="26" width="34.42578125" style="1" customWidth="1"/>
    <col min="27" max="16384" width="9.140625" style="1"/>
  </cols>
  <sheetData>
    <row r="1" spans="1:26" ht="21.75" customHeight="1" x14ac:dyDescent="0.2">
      <c r="A1" s="3" t="s">
        <v>2215</v>
      </c>
      <c r="B1" s="4" t="s">
        <v>2246</v>
      </c>
      <c r="F1" s="4"/>
      <c r="G1" s="4" t="s">
        <v>133</v>
      </c>
      <c r="H1" s="4" t="s">
        <v>49</v>
      </c>
      <c r="K1" s="1" t="s">
        <v>50</v>
      </c>
      <c r="L1" s="10" t="s">
        <v>10</v>
      </c>
      <c r="M1" s="4" t="s">
        <v>166</v>
      </c>
      <c r="W1" s="1" t="s">
        <v>164</v>
      </c>
    </row>
    <row r="2" spans="1:26" x14ac:dyDescent="0.2">
      <c r="A2" s="1" t="s">
        <v>2216</v>
      </c>
      <c r="B2" s="1" t="s">
        <v>35</v>
      </c>
      <c r="C2" s="1" t="s">
        <v>0</v>
      </c>
      <c r="D2" s="1" t="s">
        <v>136</v>
      </c>
      <c r="E2" s="18" t="s">
        <v>4</v>
      </c>
      <c r="F2" s="1" t="s">
        <v>1</v>
      </c>
      <c r="G2" s="2" t="s">
        <v>2</v>
      </c>
      <c r="H2" s="2" t="s">
        <v>48</v>
      </c>
      <c r="I2" s="2" t="s">
        <v>29</v>
      </c>
      <c r="J2" s="2" t="s">
        <v>40</v>
      </c>
      <c r="K2" s="1" t="s">
        <v>30</v>
      </c>
      <c r="L2" s="2" t="s">
        <v>3</v>
      </c>
      <c r="M2" s="1" t="s">
        <v>14</v>
      </c>
      <c r="N2" s="1" t="s">
        <v>15</v>
      </c>
      <c r="O2" s="1" t="s">
        <v>16</v>
      </c>
      <c r="P2" s="1" t="s">
        <v>42</v>
      </c>
      <c r="Q2" s="1" t="s">
        <v>44</v>
      </c>
      <c r="R2" s="1" t="s">
        <v>110</v>
      </c>
      <c r="S2" s="1" t="s">
        <v>43</v>
      </c>
      <c r="T2" s="1" t="s">
        <v>45</v>
      </c>
      <c r="U2" s="1" t="s">
        <v>46</v>
      </c>
      <c r="V2" s="1" t="s">
        <v>47</v>
      </c>
      <c r="W2" s="1" t="s">
        <v>154</v>
      </c>
      <c r="X2" s="1" t="s">
        <v>153</v>
      </c>
      <c r="Y2" s="1" t="s">
        <v>175</v>
      </c>
      <c r="Z2" s="20" t="s">
        <v>142</v>
      </c>
    </row>
    <row r="3" spans="1:26" x14ac:dyDescent="0.2">
      <c r="A3" s="16"/>
      <c r="B3" s="16"/>
      <c r="C3" s="1" t="s">
        <v>2219</v>
      </c>
      <c r="D3" s="16" t="b">
        <v>1</v>
      </c>
      <c r="E3" s="19" t="b">
        <v>1</v>
      </c>
      <c r="F3" s="2" t="s">
        <v>2220</v>
      </c>
      <c r="G3" s="109" t="str">
        <f ca="1">SUBSTITUTE(
UPPER(IF(DATA_EFORM_TYPE_CODE="RES",
CONCATENATE("R",TEXT(MOD(LEN(DATA_PRIM_BORW_FULL_NAME)+LEN(G12)+LEN(G42),100),"00"),TEXT(DATA_PROPTY_ZIP_CODE,"00000"),LEFT(SUBSTITUTE(DATA_PROPTY_ADDR," ","X"),6)&amp;REPT("X",MAX(0,6-LEN(DATA_PROPTY_ADDR))),TEXT(LEN(DATA_PROPTY_ADDR),"00"),LEFT(TEXT(INT(IF(DATA_HSEHLD_INC_PCT_MFI="",1,DATA_HSEHLD_INC_PCT_MFI)*1000),"000"),3),TEXT(MOD(IF(DATA_FAMILY_SIZE_NO="",0,DATA_FAMILY_SIZE_NO),10),"0")),
IF(DATA_EFORM_TYPE_CODE="DSB",
CONCATENATE("D",TEXT(DATA_HSEHLD_NO,"000000"),TEXT(IF(DATA_DISBURSEMENT_DATE="",NOW(),DATA_DISBURSEMENT_DATE),"YYYYMMDD"),TEXT(MOD(MAX(0,DATA_FIRST_MTG_LOAN_AMT),10000000),"0000000"),LEFT(TEXT(INT(IF(DATA_LTV="",1,DATA_LTV)*1000),"000"),3)),
CONCATENATE("A",TEXT(DATA_HSEHLD_NO,"000000"),TEXT(LEN(DATA_ADL_DESCRIPTION),"000"),LEFT(SUBSTITUTE(DATA_ADL_DESCRIPTION," ","X"),7)&amp;REPT("X",MAX(0,7-LEN(DATA_ADL_DESCRIPTION))),RIGHT(SUBSTITUTE(DATA_ADL_DESCRIPTION," ","X"),2)&amp;REPT("X",MAX(0,2-LEN(DATA_ADL_DESCRIPTION))),TEXT(DATA_MEMBER_CERTIFICATION_DATE,"#####"),IF(DATA_FHA_LETTER_REQ_FLAG=TRUE,"Y","N"))))),
"'",
"Q")</f>
        <v>R00XXXXXX001000</v>
      </c>
      <c r="H3" s="17"/>
      <c r="I3" s="17" t="b">
        <f ca="1">(DB_TBL_DATA_FIELDS[[#This Row],[FIELD_VALUE_RAW]]="")</f>
        <v>0</v>
      </c>
      <c r="J3" s="17" t="s">
        <v>9</v>
      </c>
      <c r="K3" s="16" t="b">
        <f>AND(IF(DB_TBL_DATA_FIELDS[[#This Row],[FIELD_VALID_CUSTOM_LOGIC]]="",TRUE,DB_TBL_DATA_FIELDS[[#This Row],[FIELD_VALID_CUSTOM_LOGIC]]),DB_TBL_DATA_FIELDS[[#This Row],[RANGE_VALIDATION_PASSED_FLAG]])</f>
        <v>1</v>
      </c>
      <c r="L3" s="1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R00XXXXXX001000</v>
      </c>
      <c r="M3" s="16" t="str">
        <f>IF(DB_TBL_DATA_FIELDS[[#This Row],[SHEET_REF_CALC]]="","",IF(DB_TBL_DATA_FIELDS[[#This Row],[FIELD_EMPTY_FLAG]],IF(NOT(DB_TBL_DATA_FIELDS[[#This Row],[FIELD_REQ_FLAG]]),-1,1),IF(NOT(DB_TBL_DATA_FIELDS[[#This Row],[FIELD_VALID_FLAG]]),0,2)))</f>
        <v/>
      </c>
      <c r="N3" s="16" t="str">
        <f>IFERROR(VLOOKUP(DB_TBL_DATA_FIELDS[[#This Row],[FIELD_STATUS_CODE]],DB_TBL_CONFIG_FIELDSTATUSCODES[#All],3,FALSE),"")</f>
        <v/>
      </c>
      <c r="O3" s="16" t="str">
        <f>IFERROR(VLOOKUP(DB_TBL_DATA_FIELDS[[#This Row],[FIELD_STATUS_CODE]],DB_TBL_CONFIG_FIELDSTATUSCODES[#All],4,FALSE),"")</f>
        <v/>
      </c>
      <c r="P3" s="1" t="b">
        <v>1</v>
      </c>
      <c r="Q3" s="16" t="b">
        <v>0</v>
      </c>
      <c r="R3" s="16" t="s">
        <v>9</v>
      </c>
      <c r="S3" s="1">
        <f ca="1">IF(DB_TBL_DATA_FIELDS[[#This Row],[RANGE_VALIDATION_FLAG]]="Text",LEN(DB_TBL_DATA_FIELDS[[#This Row],[FIELD_VALUE_RAW]]),IFERROR(VALUE(DB_TBL_DATA_FIELDS[[#This Row],[FIELD_VALUE_RAW]]),-1))</f>
        <v>15</v>
      </c>
      <c r="T3" s="16">
        <v>1</v>
      </c>
      <c r="U3" s="16">
        <v>23</v>
      </c>
      <c r="V3" s="16" t="b">
        <f>IF(NOT(DB_TBL_DATA_FIELDS[[#This Row],[RANGE_VALIDATION_ON_FLAG]]),TRUE,
AND(DB_TBL_DATA_FIELDS[[#This Row],[RANGE_VALUE_LEN]]&gt;=DB_TBL_DATA_FIELDS[[#This Row],[RANGE_VALIDATION_MIN]],DB_TBL_DATA_FIELDS[[#This Row],[RANGE_VALUE_LEN]]&lt;=DB_TBL_DATA_FIELDS[[#This Row],[RANGE_VALIDATION_MAX]]))</f>
        <v>1</v>
      </c>
      <c r="W3" s="16">
        <v>0</v>
      </c>
      <c r="X3" s="16" t="str">
        <f>IF(DB_TBL_DATA_FIELDS[[#This Row],[PCT_CALC_SHOW_STATUS_CODE]]=1,
DB_TBL_DATA_FIELDS[[#This Row],[FIELD_STATUS_CODE]],
IF(AND(DB_TBL_DATA_FIELDS[[#This Row],[PCT_CALC_SHOW_STATUS_CODE]]=2,DB_TBL_DATA_FIELDS[[#This Row],[FIELD_STATUS_CODE]]=0),
DB_TBL_DATA_FIELDS[[#This Row],[FIELD_STATUS_CODE]],
"")
)</f>
        <v/>
      </c>
      <c r="Y3" s="16"/>
    </row>
    <row r="4" spans="1:26" x14ac:dyDescent="0.2">
      <c r="B4" s="16"/>
      <c r="C4" s="1" t="s">
        <v>111</v>
      </c>
      <c r="D4" s="1" t="b">
        <v>0</v>
      </c>
      <c r="E4" s="18" t="b">
        <v>0</v>
      </c>
      <c r="F4" s="2" t="s">
        <v>2255</v>
      </c>
      <c r="G4" s="21">
        <f ca="1">COUNTIF(DB_TBL_DATA_FIELDS[PCT_CALC_FIELD_STATUS_CODE],2)</f>
        <v>0</v>
      </c>
      <c r="I4" s="2" t="b">
        <f ca="1">(DB_TBL_DATA_FIELDS[[#This Row],[FIELD_VALUE_RAW]]="")</f>
        <v>0</v>
      </c>
      <c r="J4" s="2" t="s">
        <v>39</v>
      </c>
      <c r="K4" s="1" t="b">
        <f>AND(IF(DB_TBL_DATA_FIELDS[[#This Row],[FIELD_VALID_CUSTOM_LOGIC]]="",TRUE,DB_TBL_DATA_FIELDS[[#This Row],[FIELD_VALID_CUSTOM_LOGIC]]),DB_TBL_DATA_FIELDS[[#This Row],[RANGE_VALIDATION_PASSED_FLAG]])</f>
        <v>1</v>
      </c>
      <c r="L4" s="2">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0</v>
      </c>
      <c r="M4" s="1" t="str">
        <f>IF(DB_TBL_DATA_FIELDS[[#This Row],[SHEET_REF_CALC]]="","",IF(DB_TBL_DATA_FIELDS[[#This Row],[FIELD_EMPTY_FLAG]],IF(NOT(DB_TBL_DATA_FIELDS[[#This Row],[FIELD_REQ_FLAG]]),-1,1),IF(NOT(DB_TBL_DATA_FIELDS[[#This Row],[FIELD_VALID_FLAG]]),0,2)))</f>
        <v/>
      </c>
      <c r="N4" s="1" t="str">
        <f>IFERROR(VLOOKUP(DB_TBL_DATA_FIELDS[[#This Row],[FIELD_STATUS_CODE]],DB_TBL_CONFIG_FIELDSTATUSCODES[#All],3,FALSE),"")</f>
        <v/>
      </c>
      <c r="O4" s="1" t="str">
        <f>IFERROR(VLOOKUP(DB_TBL_DATA_FIELDS[[#This Row],[FIELD_STATUS_CODE]],DB_TBL_CONFIG_FIELDSTATUSCODES[#All],4,FALSE),"")</f>
        <v/>
      </c>
      <c r="P4" s="1" t="b">
        <f>TRUE</f>
        <v>1</v>
      </c>
      <c r="Q4" s="1" t="b">
        <v>0</v>
      </c>
      <c r="S4" s="1">
        <f ca="1">IF(DB_TBL_DATA_FIELDS[[#This Row],[RANGE_VALIDATION_FLAG]]="Text",LEN(DB_TBL_DATA_FIELDS[[#This Row],[FIELD_VALUE_RAW]]),IFERROR(VALUE(DB_TBL_DATA_FIELDS[[#This Row],[FIELD_VALUE_RAW]]),-1))</f>
        <v>0</v>
      </c>
      <c r="V4" s="1" t="b">
        <f>IF(NOT(DB_TBL_DATA_FIELDS[[#This Row],[RANGE_VALIDATION_ON_FLAG]]),TRUE,
AND(DB_TBL_DATA_FIELDS[[#This Row],[RANGE_VALUE_LEN]]&gt;=DB_TBL_DATA_FIELDS[[#This Row],[RANGE_VALIDATION_MIN]],DB_TBL_DATA_FIELDS[[#This Row],[RANGE_VALUE_LEN]]&lt;=DB_TBL_DATA_FIELDS[[#This Row],[RANGE_VALIDATION_MAX]]))</f>
        <v>1</v>
      </c>
      <c r="W4" s="16">
        <v>0</v>
      </c>
      <c r="X4" s="16" t="str">
        <f>IF(DB_TBL_DATA_FIELDS[[#This Row],[PCT_CALC_SHOW_STATUS_CODE]]=1,
DB_TBL_DATA_FIELDS[[#This Row],[FIELD_STATUS_CODE]],
IF(AND(DB_TBL_DATA_FIELDS[[#This Row],[PCT_CALC_SHOW_STATUS_CODE]]=2,DB_TBL_DATA_FIELDS[[#This Row],[FIELD_STATUS_CODE]]=0),
DB_TBL_DATA_FIELDS[[#This Row],[FIELD_STATUS_CODE]],
"")
)</f>
        <v/>
      </c>
      <c r="Y4" s="16"/>
    </row>
    <row r="5" spans="1:26" x14ac:dyDescent="0.2">
      <c r="B5" s="16"/>
      <c r="C5" s="1" t="s">
        <v>112</v>
      </c>
      <c r="D5" s="1" t="b">
        <v>0</v>
      </c>
      <c r="E5" s="18" t="b">
        <v>0</v>
      </c>
      <c r="F5" s="2" t="s">
        <v>2254</v>
      </c>
      <c r="G5" s="21">
        <f ca="1">COUNTIF(DB_TBL_DATA_FIELDS[PCT_CALC_FIELD_STATUS_CODE],0)+COUNTIF(DB_TBL_DATA_FIELDS[PCT_CALC_FIELD_STATUS_CODE],1)+COUNTIF(DB_TBL_DATA_FIELDS[PCT_CALC_FIELD_STATUS_CODE],2)</f>
        <v>36</v>
      </c>
      <c r="I5" s="2" t="b">
        <f ca="1">(DB_TBL_DATA_FIELDS[[#This Row],[FIELD_VALUE_RAW]]="")</f>
        <v>0</v>
      </c>
      <c r="J5" s="2" t="s">
        <v>39</v>
      </c>
      <c r="K5" s="1" t="b">
        <f>AND(IF(DB_TBL_DATA_FIELDS[[#This Row],[FIELD_VALID_CUSTOM_LOGIC]]="",TRUE,DB_TBL_DATA_FIELDS[[#This Row],[FIELD_VALID_CUSTOM_LOGIC]]),DB_TBL_DATA_FIELDS[[#This Row],[RANGE_VALIDATION_PASSED_FLAG]])</f>
        <v>1</v>
      </c>
      <c r="L5" s="2">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36</v>
      </c>
      <c r="M5" s="1" t="str">
        <f>IF(DB_TBL_DATA_FIELDS[[#This Row],[SHEET_REF_CALC]]="","",IF(DB_TBL_DATA_FIELDS[[#This Row],[FIELD_EMPTY_FLAG]],IF(NOT(DB_TBL_DATA_FIELDS[[#This Row],[FIELD_REQ_FLAG]]),-1,1),IF(NOT(DB_TBL_DATA_FIELDS[[#This Row],[FIELD_VALID_FLAG]]),0,2)))</f>
        <v/>
      </c>
      <c r="N5" s="1" t="str">
        <f>IFERROR(VLOOKUP(DB_TBL_DATA_FIELDS[[#This Row],[FIELD_STATUS_CODE]],DB_TBL_CONFIG_FIELDSTATUSCODES[#All],3,FALSE),"")</f>
        <v/>
      </c>
      <c r="O5" s="1" t="str">
        <f>IFERROR(VLOOKUP(DB_TBL_DATA_FIELDS[[#This Row],[FIELD_STATUS_CODE]],DB_TBL_CONFIG_FIELDSTATUSCODES[#All],4,FALSE),"")</f>
        <v/>
      </c>
      <c r="P5" s="1" t="b">
        <f>TRUE</f>
        <v>1</v>
      </c>
      <c r="Q5" s="1" t="b">
        <v>0</v>
      </c>
      <c r="S5" s="1">
        <f ca="1">IF(DB_TBL_DATA_FIELDS[[#This Row],[RANGE_VALIDATION_FLAG]]="Text",LEN(DB_TBL_DATA_FIELDS[[#This Row],[FIELD_VALUE_RAW]]),IFERROR(VALUE(DB_TBL_DATA_FIELDS[[#This Row],[FIELD_VALUE_RAW]]),-1))</f>
        <v>36</v>
      </c>
      <c r="V5" s="1" t="b">
        <f>IF(NOT(DB_TBL_DATA_FIELDS[[#This Row],[RANGE_VALIDATION_ON_FLAG]]),TRUE,
AND(DB_TBL_DATA_FIELDS[[#This Row],[RANGE_VALUE_LEN]]&gt;=DB_TBL_DATA_FIELDS[[#This Row],[RANGE_VALIDATION_MIN]],DB_TBL_DATA_FIELDS[[#This Row],[RANGE_VALUE_LEN]]&lt;=DB_TBL_DATA_FIELDS[[#This Row],[RANGE_VALIDATION_MAX]]))</f>
        <v>1</v>
      </c>
      <c r="W5" s="16">
        <v>0</v>
      </c>
      <c r="X5" s="16" t="str">
        <f>IF(DB_TBL_DATA_FIELDS[[#This Row],[PCT_CALC_SHOW_STATUS_CODE]]=1,
DB_TBL_DATA_FIELDS[[#This Row],[FIELD_STATUS_CODE]],
IF(AND(DB_TBL_DATA_FIELDS[[#This Row],[PCT_CALC_SHOW_STATUS_CODE]]=2,DB_TBL_DATA_FIELDS[[#This Row],[FIELD_STATUS_CODE]]=0),
DB_TBL_DATA_FIELDS[[#This Row],[FIELD_STATUS_CODE]],
"")
)</f>
        <v/>
      </c>
      <c r="Y5" s="16"/>
    </row>
    <row r="6" spans="1:26" x14ac:dyDescent="0.2">
      <c r="B6" s="16"/>
      <c r="C6" s="1" t="s">
        <v>113</v>
      </c>
      <c r="D6" s="1" t="b">
        <v>0</v>
      </c>
      <c r="E6" s="18" t="b">
        <v>0</v>
      </c>
      <c r="F6" s="2" t="s">
        <v>2253</v>
      </c>
      <c r="G6" s="21">
        <f ca="1">COUNTIF(DB_TBL_DATA_FIELDS[FIELD_STATUS_CODE],0)</f>
        <v>0</v>
      </c>
      <c r="I6" s="2" t="b">
        <f ca="1">(DB_TBL_DATA_FIELDS[[#This Row],[FIELD_VALUE_RAW]]="")</f>
        <v>0</v>
      </c>
      <c r="J6" s="2" t="s">
        <v>39</v>
      </c>
      <c r="K6" s="1" t="b">
        <f>AND(IF(DB_TBL_DATA_FIELDS[[#This Row],[FIELD_VALID_CUSTOM_LOGIC]]="",TRUE,DB_TBL_DATA_FIELDS[[#This Row],[FIELD_VALID_CUSTOM_LOGIC]]),DB_TBL_DATA_FIELDS[[#This Row],[RANGE_VALIDATION_PASSED_FLAG]])</f>
        <v>1</v>
      </c>
      <c r="L6" s="2">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0</v>
      </c>
      <c r="M6" s="1" t="str">
        <f>IF(DB_TBL_DATA_FIELDS[[#This Row],[SHEET_REF_CALC]]="","",IF(DB_TBL_DATA_FIELDS[[#This Row],[FIELD_EMPTY_FLAG]],IF(NOT(DB_TBL_DATA_FIELDS[[#This Row],[FIELD_REQ_FLAG]]),-1,1),IF(NOT(DB_TBL_DATA_FIELDS[[#This Row],[FIELD_VALID_FLAG]]),0,2)))</f>
        <v/>
      </c>
      <c r="N6" s="1" t="str">
        <f>IFERROR(VLOOKUP(DB_TBL_DATA_FIELDS[[#This Row],[FIELD_STATUS_CODE]],DB_TBL_CONFIG_FIELDSTATUSCODES[#All],3,FALSE),"")</f>
        <v/>
      </c>
      <c r="O6" s="1" t="str">
        <f>IFERROR(VLOOKUP(DB_TBL_DATA_FIELDS[[#This Row],[FIELD_STATUS_CODE]],DB_TBL_CONFIG_FIELDSTATUSCODES[#All],4,FALSE),"")</f>
        <v/>
      </c>
      <c r="P6" s="1" t="b">
        <f>TRUE</f>
        <v>1</v>
      </c>
      <c r="Q6" s="1" t="b">
        <v>0</v>
      </c>
      <c r="S6" s="1">
        <f ca="1">IF(DB_TBL_DATA_FIELDS[[#This Row],[RANGE_VALIDATION_FLAG]]="Text",LEN(DB_TBL_DATA_FIELDS[[#This Row],[FIELD_VALUE_RAW]]),IFERROR(VALUE(DB_TBL_DATA_FIELDS[[#This Row],[FIELD_VALUE_RAW]]),-1))</f>
        <v>0</v>
      </c>
      <c r="V6" s="1" t="b">
        <f>IF(NOT(DB_TBL_DATA_FIELDS[[#This Row],[RANGE_VALIDATION_ON_FLAG]]),TRUE,
AND(DB_TBL_DATA_FIELDS[[#This Row],[RANGE_VALUE_LEN]]&gt;=DB_TBL_DATA_FIELDS[[#This Row],[RANGE_VALIDATION_MIN]],DB_TBL_DATA_FIELDS[[#This Row],[RANGE_VALUE_LEN]]&lt;=DB_TBL_DATA_FIELDS[[#This Row],[RANGE_VALIDATION_MAX]]))</f>
        <v>1</v>
      </c>
      <c r="W6" s="16">
        <v>0</v>
      </c>
      <c r="X6" s="16" t="str">
        <f>IF(DB_TBL_DATA_FIELDS[[#This Row],[PCT_CALC_SHOW_STATUS_CODE]]=1,
DB_TBL_DATA_FIELDS[[#This Row],[FIELD_STATUS_CODE]],
IF(AND(DB_TBL_DATA_FIELDS[[#This Row],[PCT_CALC_SHOW_STATUS_CODE]]=2,DB_TBL_DATA_FIELDS[[#This Row],[FIELD_STATUS_CODE]]=0),
DB_TBL_DATA_FIELDS[[#This Row],[FIELD_STATUS_CODE]],
"")
)</f>
        <v/>
      </c>
      <c r="Y6" s="16"/>
    </row>
    <row r="7" spans="1:26" x14ac:dyDescent="0.2">
      <c r="B7" s="16"/>
      <c r="C7" s="1" t="s">
        <v>139</v>
      </c>
      <c r="D7" s="1" t="b">
        <v>0</v>
      </c>
      <c r="E7" s="18" t="b">
        <v>0</v>
      </c>
      <c r="F7" s="2" t="s">
        <v>2252</v>
      </c>
      <c r="G7" s="21">
        <f ca="1">(G4/G5)</f>
        <v>0</v>
      </c>
      <c r="I7" s="2" t="b">
        <f ca="1">(DB_TBL_DATA_FIELDS[[#This Row],[FIELD_VALUE_RAW]]="")</f>
        <v>0</v>
      </c>
      <c r="J7" s="2" t="s">
        <v>39</v>
      </c>
      <c r="K7" s="1" t="b">
        <f>AND(IF(DB_TBL_DATA_FIELDS[[#This Row],[FIELD_VALID_CUSTOM_LOGIC]]="",TRUE,DB_TBL_DATA_FIELDS[[#This Row],[FIELD_VALID_CUSTOM_LOGIC]]),DB_TBL_DATA_FIELDS[[#This Row],[RANGE_VALIDATION_PASSED_FLAG]])</f>
        <v>1</v>
      </c>
      <c r="L7" s="2">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0</v>
      </c>
      <c r="M7" s="1" t="str">
        <f>IF(DB_TBL_DATA_FIELDS[[#This Row],[SHEET_REF_CALC]]="","",IF(DB_TBL_DATA_FIELDS[[#This Row],[FIELD_EMPTY_FLAG]],IF(NOT(DB_TBL_DATA_FIELDS[[#This Row],[FIELD_REQ_FLAG]]),-1,1),IF(NOT(DB_TBL_DATA_FIELDS[[#This Row],[FIELD_VALID_FLAG]]),0,2)))</f>
        <v/>
      </c>
      <c r="N7" s="1" t="str">
        <f>IFERROR(VLOOKUP(DB_TBL_DATA_FIELDS[[#This Row],[FIELD_STATUS_CODE]],DB_TBL_CONFIG_FIELDSTATUSCODES[#All],3,FALSE),"")</f>
        <v/>
      </c>
      <c r="O7" s="1" t="str">
        <f>IFERROR(VLOOKUP(DB_TBL_DATA_FIELDS[[#This Row],[FIELD_STATUS_CODE]],DB_TBL_CONFIG_FIELDSTATUSCODES[#All],4,FALSE),"")</f>
        <v/>
      </c>
      <c r="P7" s="1" t="b">
        <f>TRUE</f>
        <v>1</v>
      </c>
      <c r="Q7" s="1" t="b">
        <v>0</v>
      </c>
      <c r="S7" s="1">
        <f ca="1">IF(DB_TBL_DATA_FIELDS[[#This Row],[RANGE_VALIDATION_FLAG]]="Text",LEN(DB_TBL_DATA_FIELDS[[#This Row],[FIELD_VALUE_RAW]]),IFERROR(VALUE(DB_TBL_DATA_FIELDS[[#This Row],[FIELD_VALUE_RAW]]),-1))</f>
        <v>0</v>
      </c>
      <c r="V7" s="1" t="b">
        <f>IF(NOT(DB_TBL_DATA_FIELDS[[#This Row],[RANGE_VALIDATION_ON_FLAG]]),TRUE,
AND(DB_TBL_DATA_FIELDS[[#This Row],[RANGE_VALUE_LEN]]&gt;=DB_TBL_DATA_FIELDS[[#This Row],[RANGE_VALIDATION_MIN]],DB_TBL_DATA_FIELDS[[#This Row],[RANGE_VALUE_LEN]]&lt;=DB_TBL_DATA_FIELDS[[#This Row],[RANGE_VALIDATION_MAX]]))</f>
        <v>1</v>
      </c>
      <c r="W7" s="16">
        <v>0</v>
      </c>
      <c r="X7" s="16" t="str">
        <f>IF(DB_TBL_DATA_FIELDS[[#This Row],[PCT_CALC_SHOW_STATUS_CODE]]=1,
DB_TBL_DATA_FIELDS[[#This Row],[FIELD_STATUS_CODE]],
IF(AND(DB_TBL_DATA_FIELDS[[#This Row],[PCT_CALC_SHOW_STATUS_CODE]]=2,DB_TBL_DATA_FIELDS[[#This Row],[FIELD_STATUS_CODE]]=0),
DB_TBL_DATA_FIELDS[[#This Row],[FIELD_STATUS_CODE]],
"")
)</f>
        <v/>
      </c>
      <c r="Y7" s="16"/>
    </row>
    <row r="8" spans="1:26" x14ac:dyDescent="0.2">
      <c r="B8" s="16"/>
      <c r="C8" s="247" t="s">
        <v>2365</v>
      </c>
      <c r="D8" s="247" t="b">
        <v>0</v>
      </c>
      <c r="E8" s="256" t="b">
        <v>0</v>
      </c>
      <c r="F8" s="2" t="s">
        <v>2362</v>
      </c>
      <c r="G8" s="255" t="str">
        <f>""</f>
        <v/>
      </c>
      <c r="I8" s="2" t="b">
        <f>(DB_TBL_DATA_FIELDS[[#This Row],[FIELD_VALUE_RAW]]="")</f>
        <v>1</v>
      </c>
      <c r="J8" s="2" t="s">
        <v>9</v>
      </c>
      <c r="K8" s="1" t="b">
        <f>AND(IF(DB_TBL_DATA_FIELDS[[#This Row],[FIELD_VALID_CUSTOM_LOGIC]]="",TRUE,DB_TBL_DATA_FIELDS[[#This Row],[FIELD_VALID_CUSTOM_LOGIC]]),DB_TBL_DATA_FIELDS[[#This Row],[RANGE_VALIDATION_PASSED_FLAG]])</f>
        <v>1</v>
      </c>
      <c r="L8" s="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 s="1" t="str">
        <f>IF(DB_TBL_DATA_FIELDS[[#This Row],[SHEET_REF_CALC]]="","",IF(DB_TBL_DATA_FIELDS[[#This Row],[FIELD_EMPTY_FLAG]],IF(NOT(DB_TBL_DATA_FIELDS[[#This Row],[FIELD_REQ_FLAG]]),-1,1),IF(NOT(DB_TBL_DATA_FIELDS[[#This Row],[FIELD_VALID_FLAG]]),0,2)))</f>
        <v/>
      </c>
      <c r="N8" s="1" t="str">
        <f>IFERROR(VLOOKUP(DB_TBL_DATA_FIELDS[[#This Row],[FIELD_STATUS_CODE]],DB_TBL_CONFIG_FIELDSTATUSCODES[#All],3,FALSE),"")</f>
        <v/>
      </c>
      <c r="O8" s="1" t="str">
        <f>IFERROR(VLOOKUP(DB_TBL_DATA_FIELDS[[#This Row],[FIELD_STATUS_CODE]],DB_TBL_CONFIG_FIELDSTATUSCODES[#All],4,FALSE),"")</f>
        <v/>
      </c>
      <c r="P8" s="1" t="b">
        <f>TRUE</f>
        <v>1</v>
      </c>
      <c r="Q8" s="1" t="b">
        <v>0</v>
      </c>
      <c r="S8" s="1">
        <f>IF(DB_TBL_DATA_FIELDS[[#This Row],[RANGE_VALIDATION_FLAG]]="Text",LEN(DB_TBL_DATA_FIELDS[[#This Row],[FIELD_VALUE_RAW]]),IFERROR(VALUE(DB_TBL_DATA_FIELDS[[#This Row],[FIELD_VALUE_RAW]]),-1))</f>
        <v>-1</v>
      </c>
      <c r="V8" s="1" t="b">
        <f>IF(NOT(DB_TBL_DATA_FIELDS[[#This Row],[RANGE_VALIDATION_ON_FLAG]]),TRUE,
AND(DB_TBL_DATA_FIELDS[[#This Row],[RANGE_VALUE_LEN]]&gt;=DB_TBL_DATA_FIELDS[[#This Row],[RANGE_VALIDATION_MIN]],DB_TBL_DATA_FIELDS[[#This Row],[RANGE_VALUE_LEN]]&lt;=DB_TBL_DATA_FIELDS[[#This Row],[RANGE_VALIDATION_MAX]]))</f>
        <v>1</v>
      </c>
      <c r="W8" s="1">
        <v>0</v>
      </c>
      <c r="X8" s="1" t="str">
        <f>IF(DB_TBL_DATA_FIELDS[[#This Row],[PCT_CALC_SHOW_STATUS_CODE]]=1,
DB_TBL_DATA_FIELDS[[#This Row],[FIELD_STATUS_CODE]],
IF(AND(DB_TBL_DATA_FIELDS[[#This Row],[PCT_CALC_SHOW_STATUS_CODE]]=2,DB_TBL_DATA_FIELDS[[#This Row],[FIELD_STATUS_CODE]]=0),
DB_TBL_DATA_FIELDS[[#This Row],[FIELD_STATUS_CODE]],
"")
)</f>
        <v/>
      </c>
      <c r="Z8" s="1" t="s">
        <v>2946</v>
      </c>
    </row>
    <row r="9" spans="1:26" x14ac:dyDescent="0.2">
      <c r="B9" s="16"/>
      <c r="C9" s="1" t="s">
        <v>2250</v>
      </c>
      <c r="D9" s="16" t="b">
        <v>1</v>
      </c>
      <c r="E9" s="19" t="b">
        <v>0</v>
      </c>
      <c r="F9" s="2" t="s">
        <v>2251</v>
      </c>
      <c r="G9" s="21">
        <f ca="1">IF(G7=1,1,0)</f>
        <v>0</v>
      </c>
      <c r="H9" s="17"/>
      <c r="I9" s="17" t="b">
        <f ca="1">(DB_TBL_DATA_FIELDS[[#This Row],[FIELD_VALUE_RAW]]="")</f>
        <v>0</v>
      </c>
      <c r="J9" s="17" t="s">
        <v>140</v>
      </c>
      <c r="K9" s="16" t="b">
        <f>AND(IF(DB_TBL_DATA_FIELDS[[#This Row],[FIELD_VALID_CUSTOM_LOGIC]]="",TRUE,DB_TBL_DATA_FIELDS[[#This Row],[FIELD_VALID_CUSTOM_LOGIC]]),DB_TBL_DATA_FIELDS[[#This Row],[RANGE_VALIDATION_PASSED_FLAG]])</f>
        <v>1</v>
      </c>
      <c r="L9" s="1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N</v>
      </c>
      <c r="M9" s="16" t="str">
        <f>IF(DB_TBL_DATA_FIELDS[[#This Row],[SHEET_REF_CALC]]="","",IF(DB_TBL_DATA_FIELDS[[#This Row],[FIELD_EMPTY_FLAG]],IF(NOT(DB_TBL_DATA_FIELDS[[#This Row],[FIELD_REQ_FLAG]]),-1,1),IF(NOT(DB_TBL_DATA_FIELDS[[#This Row],[FIELD_VALID_FLAG]]),0,2)))</f>
        <v/>
      </c>
      <c r="N9" s="16" t="str">
        <f>IFERROR(VLOOKUP(DB_TBL_DATA_FIELDS[[#This Row],[FIELD_STATUS_CODE]],DB_TBL_CONFIG_FIELDSTATUSCODES[#All],3,FALSE),"")</f>
        <v/>
      </c>
      <c r="O9" s="16" t="str">
        <f>IFERROR(VLOOKUP(DB_TBL_DATA_FIELDS[[#This Row],[FIELD_STATUS_CODE]],DB_TBL_CONFIG_FIELDSTATUSCODES[#All],4,FALSE),"")</f>
        <v/>
      </c>
      <c r="P9" s="16" t="b">
        <f>TRUE</f>
        <v>1</v>
      </c>
      <c r="Q9" s="16" t="b">
        <v>0</v>
      </c>
      <c r="R9" s="16"/>
      <c r="S9" s="16">
        <f ca="1">IF(DB_TBL_DATA_FIELDS[[#This Row],[RANGE_VALIDATION_FLAG]]="Text",LEN(DB_TBL_DATA_FIELDS[[#This Row],[FIELD_VALUE_RAW]]),IFERROR(VALUE(DB_TBL_DATA_FIELDS[[#This Row],[FIELD_VALUE_RAW]]),-1))</f>
        <v>0</v>
      </c>
      <c r="T9" s="16">
        <v>0</v>
      </c>
      <c r="U9" s="16">
        <v>1</v>
      </c>
      <c r="V9" s="16" t="b">
        <f>IF(NOT(DB_TBL_DATA_FIELDS[[#This Row],[RANGE_VALIDATION_ON_FLAG]]),TRUE,
AND(DB_TBL_DATA_FIELDS[[#This Row],[RANGE_VALUE_LEN]]&gt;=DB_TBL_DATA_FIELDS[[#This Row],[RANGE_VALIDATION_MIN]],DB_TBL_DATA_FIELDS[[#This Row],[RANGE_VALUE_LEN]]&lt;=DB_TBL_DATA_FIELDS[[#This Row],[RANGE_VALIDATION_MAX]]))</f>
        <v>1</v>
      </c>
      <c r="W9" s="16">
        <v>0</v>
      </c>
      <c r="X9" s="16" t="str">
        <f>IF(DB_TBL_DATA_FIELDS[[#This Row],[PCT_CALC_SHOW_STATUS_CODE]]=1,
DB_TBL_DATA_FIELDS[[#This Row],[FIELD_STATUS_CODE]],
IF(AND(DB_TBL_DATA_FIELDS[[#This Row],[PCT_CALC_SHOW_STATUS_CODE]]=2,DB_TBL_DATA_FIELDS[[#This Row],[FIELD_STATUS_CODE]]=0),
DB_TBL_DATA_FIELDS[[#This Row],[FIELD_STATUS_CODE]],
"")
)</f>
        <v/>
      </c>
      <c r="Y9" s="16"/>
    </row>
    <row r="10" spans="1:26" x14ac:dyDescent="0.2">
      <c r="B10" s="16"/>
      <c r="C10" s="1" t="s">
        <v>192</v>
      </c>
      <c r="D10" s="1" t="b">
        <v>1</v>
      </c>
      <c r="E10" s="18" t="b">
        <v>1</v>
      </c>
      <c r="F10" s="2" t="s">
        <v>2241</v>
      </c>
      <c r="G10" s="21" t="str">
        <f>CONFIG_EFORMN_VERSION_NO</f>
        <v>5.0.0</v>
      </c>
      <c r="I10" s="2" t="b">
        <f>(DB_TBL_DATA_FIELDS[[#This Row],[FIELD_VALUE_RAW]]="")</f>
        <v>0</v>
      </c>
      <c r="J10" s="2" t="s">
        <v>9</v>
      </c>
      <c r="K10" s="1" t="b">
        <f>AND(IF(DB_TBL_DATA_FIELDS[[#This Row],[FIELD_VALID_CUSTOM_LOGIC]]="",TRUE,DB_TBL_DATA_FIELDS[[#This Row],[FIELD_VALID_CUSTOM_LOGIC]]),DB_TBL_DATA_FIELDS[[#This Row],[RANGE_VALIDATION_PASSED_FLAG]])</f>
        <v>1</v>
      </c>
      <c r="L10" s="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5.0.0</v>
      </c>
      <c r="M10" s="1" t="str">
        <f>IF(DB_TBL_DATA_FIELDS[[#This Row],[SHEET_REF_CALC]]="","",IF(DB_TBL_DATA_FIELDS[[#This Row],[FIELD_EMPTY_FLAG]],IF(NOT(DB_TBL_DATA_FIELDS[[#This Row],[FIELD_REQ_FLAG]]),-1,1),IF(NOT(DB_TBL_DATA_FIELDS[[#This Row],[FIELD_VALID_FLAG]]),0,2)))</f>
        <v/>
      </c>
      <c r="N10" s="1" t="str">
        <f>IFERROR(VLOOKUP(DB_TBL_DATA_FIELDS[[#This Row],[FIELD_STATUS_CODE]],DB_TBL_CONFIG_FIELDSTATUSCODES[#All],3,FALSE),"")</f>
        <v/>
      </c>
      <c r="O10" s="1" t="str">
        <f>IFERROR(VLOOKUP(DB_TBL_DATA_FIELDS[[#This Row],[FIELD_STATUS_CODE]],DB_TBL_CONFIG_FIELDSTATUSCODES[#All],4,FALSE),"")</f>
        <v/>
      </c>
      <c r="P10" s="1" t="b">
        <f>TRUE</f>
        <v>1</v>
      </c>
      <c r="Q10" s="1" t="b">
        <v>0</v>
      </c>
      <c r="S10" s="1">
        <f>IF(DB_TBL_DATA_FIELDS[[#This Row],[RANGE_VALIDATION_FLAG]]="Text",LEN(DB_TBL_DATA_FIELDS[[#This Row],[FIELD_VALUE_RAW]]),IFERROR(VALUE(DB_TBL_DATA_FIELDS[[#This Row],[FIELD_VALUE_RAW]]),-1))</f>
        <v>-1</v>
      </c>
      <c r="V10" s="1" t="b">
        <f>IF(NOT(DB_TBL_DATA_FIELDS[[#This Row],[RANGE_VALIDATION_ON_FLAG]]),TRUE,
AND(DB_TBL_DATA_FIELDS[[#This Row],[RANGE_VALUE_LEN]]&gt;=DB_TBL_DATA_FIELDS[[#This Row],[RANGE_VALIDATION_MIN]],DB_TBL_DATA_FIELDS[[#This Row],[RANGE_VALUE_LEN]]&lt;=DB_TBL_DATA_FIELDS[[#This Row],[RANGE_VALIDATION_MAX]]))</f>
        <v>1</v>
      </c>
      <c r="W10" s="1">
        <v>0</v>
      </c>
      <c r="X10" s="1" t="str">
        <f>IF(DB_TBL_DATA_FIELDS[[#This Row],[PCT_CALC_SHOW_STATUS_CODE]]=1,
DB_TBL_DATA_FIELDS[[#This Row],[FIELD_STATUS_CODE]],
IF(AND(DB_TBL_DATA_FIELDS[[#This Row],[PCT_CALC_SHOW_STATUS_CODE]]=2,DB_TBL_DATA_FIELDS[[#This Row],[FIELD_STATUS_CODE]]=0),
DB_TBL_DATA_FIELDS[[#This Row],[FIELD_STATUS_CODE]],
"")
)</f>
        <v/>
      </c>
    </row>
    <row r="11" spans="1:26" ht="13.5" thickBot="1" x14ac:dyDescent="0.25">
      <c r="A11" s="104"/>
      <c r="B11" s="104" t="s">
        <v>36</v>
      </c>
      <c r="C11" s="104" t="s">
        <v>2218</v>
      </c>
      <c r="D11" s="108" t="b">
        <v>1</v>
      </c>
      <c r="E11" s="105" t="b">
        <v>1</v>
      </c>
      <c r="F11" s="106" t="s">
        <v>2217</v>
      </c>
      <c r="G11" s="107" t="str">
        <f ca="1">IFERROR(VLOOKUP(DB_TBL_DATA_FIELDS[[#This Row],[FIELD_ID]],INDIRECT(DB_TBL_DATA_FIELDS[[#This Row],[SHEET_REF_CALC]]&amp;"!A:B"),2,FALSE),"")</f>
        <v>RES</v>
      </c>
      <c r="H11" s="107" t="b">
        <f ca="1">MATCH(DB_TBL_DATA_FIELDS[[#This Row],[FIELD_VALUE_RAW]],DB_TBL_LOOKUP_EFORM_TYPE[LOOKUP_CODE],0)&gt;=0</f>
        <v>1</v>
      </c>
      <c r="I11" s="106" t="b">
        <f ca="1">(DB_TBL_DATA_FIELDS[[#This Row],[FIELD_VALUE_RAW]]="")</f>
        <v>0</v>
      </c>
      <c r="J11" s="106" t="s">
        <v>9</v>
      </c>
      <c r="K11" s="104" t="b">
        <f ca="1">AND(IF(DB_TBL_DATA_FIELDS[[#This Row],[FIELD_VALID_CUSTOM_LOGIC]]="",TRUE,DB_TBL_DATA_FIELDS[[#This Row],[FIELD_VALID_CUSTOM_LOGIC]]),DB_TBL_DATA_FIELDS[[#This Row],[RANGE_VALIDATION_PASSED_FLAG]])</f>
        <v>1</v>
      </c>
      <c r="L11" s="1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RES</v>
      </c>
      <c r="M11" s="104">
        <f ca="1">IF(DB_TBL_DATA_FIELDS[[#This Row],[SHEET_REF_CALC]]="","",IF(DB_TBL_DATA_FIELDS[[#This Row],[FIELD_EMPTY_FLAG]],IF(NOT(DB_TBL_DATA_FIELDS[[#This Row],[FIELD_REQ_FLAG]]),-1,1),IF(NOT(DB_TBL_DATA_FIELDS[[#This Row],[FIELD_VALID_FLAG]]),0,2)))</f>
        <v>2</v>
      </c>
      <c r="N11" s="104" t="str">
        <f ca="1">IFERROR(VLOOKUP(DB_TBL_DATA_FIELDS[[#This Row],[FIELD_STATUS_CODE]],DB_TBL_CONFIG_FIELDSTATUSCODES[#All],3,FALSE),"")</f>
        <v>OK</v>
      </c>
      <c r="O11" s="104" t="str">
        <f ca="1">IFERROR(VLOOKUP(DB_TBL_DATA_FIELDS[[#This Row],[FIELD_STATUS_CODE]],DB_TBL_CONFIG_FIELDSTATUSCODES[#All],4,FALSE),"")</f>
        <v>a</v>
      </c>
      <c r="P11" s="104" t="b">
        <v>1</v>
      </c>
      <c r="Q11" s="104" t="b">
        <v>0</v>
      </c>
      <c r="R11" s="104" t="s">
        <v>9</v>
      </c>
      <c r="S11" s="104">
        <f ca="1">IF(DB_TBL_DATA_FIELDS[[#This Row],[RANGE_VALIDATION_FLAG]]="Text",LEN(DB_TBL_DATA_FIELDS[[#This Row],[FIELD_VALUE_RAW]]),IFERROR(VALUE(DB_TBL_DATA_FIELDS[[#This Row],[FIELD_VALUE_RAW]]),-1))</f>
        <v>3</v>
      </c>
      <c r="T11" s="104">
        <v>1</v>
      </c>
      <c r="U11" s="104">
        <v>1</v>
      </c>
      <c r="V11" s="104" t="b">
        <f>IF(NOT(DB_TBL_DATA_FIELDS[[#This Row],[RANGE_VALIDATION_ON_FLAG]]),TRUE,
AND(DB_TBL_DATA_FIELDS[[#This Row],[RANGE_VALUE_LEN]]&gt;=DB_TBL_DATA_FIELDS[[#This Row],[RANGE_VALIDATION_MIN]],DB_TBL_DATA_FIELDS[[#This Row],[RANGE_VALUE_LEN]]&lt;=DB_TBL_DATA_FIELDS[[#This Row],[RANGE_VALIDATION_MAX]]))</f>
        <v>1</v>
      </c>
      <c r="W11" s="104">
        <v>0</v>
      </c>
      <c r="X11" s="108" t="str">
        <f ca="1">IF(DB_TBL_DATA_FIELDS[[#This Row],[PCT_CALC_SHOW_STATUS_CODE]]=1,
DB_TBL_DATA_FIELDS[[#This Row],[FIELD_STATUS_CODE]],
IF(AND(DB_TBL_DATA_FIELDS[[#This Row],[PCT_CALC_SHOW_STATUS_CODE]]=2,DB_TBL_DATA_FIELDS[[#This Row],[FIELD_STATUS_CODE]]=0),
DB_TBL_DATA_FIELDS[[#This Row],[FIELD_STATUS_CODE]],
"")
)</f>
        <v/>
      </c>
      <c r="Y11" s="108"/>
      <c r="Z11" s="104"/>
    </row>
    <row r="12" spans="1:26" x14ac:dyDescent="0.2">
      <c r="A12" s="1" t="s">
        <v>2245</v>
      </c>
      <c r="B12" s="16" t="str">
        <f ca="1">IFERROR(IF(FIND(DATA_EFORM_TYPE_CODE,DB_TBL_DATA_FIELDS[[#This Row],[APPLICABLE_EFORM_LIST]])&gt;0,DATA_EFORM_TYPE_CODE,""),"")</f>
        <v>RES</v>
      </c>
      <c r="C12" s="1" t="s">
        <v>2247</v>
      </c>
      <c r="D12" s="16" t="b">
        <v>1</v>
      </c>
      <c r="E12" s="18" t="b">
        <v>1</v>
      </c>
      <c r="F12" s="2" t="s">
        <v>132</v>
      </c>
      <c r="G12" s="2" t="str">
        <f ca="1">IFERROR(VLOOKUP(DB_TBL_DATA_FIELDS[[#This Row],[FIELD_ID]],INDIRECT(DB_TBL_DATA_FIELDS[[#This Row],[SHEET_REF_CALC]]&amp;"!A:B"),2,FALSE),"")</f>
        <v/>
      </c>
      <c r="I12" s="2" t="b">
        <f ca="1">(DB_TBL_DATA_FIELDS[[#This Row],[FIELD_VALUE_RAW]]="")</f>
        <v>1</v>
      </c>
      <c r="J12" s="2" t="s">
        <v>9</v>
      </c>
      <c r="K12" s="1" t="b">
        <f ca="1">AND(IF(DB_TBL_DATA_FIELDS[[#This Row],[FIELD_VALID_CUSTOM_LOGIC]]="",TRUE,DB_TBL_DATA_FIELDS[[#This Row],[FIELD_VALID_CUSTOM_LOGIC]]),DB_TBL_DATA_FIELDS[[#This Row],[RANGE_VALIDATION_PASSED_FLAG]])</f>
        <v>1</v>
      </c>
      <c r="L12"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2" s="1">
        <f ca="1">IF(DB_TBL_DATA_FIELDS[[#This Row],[SHEET_REF_CALC]]="","",IF(DB_TBL_DATA_FIELDS[[#This Row],[FIELD_EMPTY_FLAG]],IF(NOT(DB_TBL_DATA_FIELDS[[#This Row],[FIELD_REQ_FLAG]]),-1,1),IF(NOT(DB_TBL_DATA_FIELDS[[#This Row],[FIELD_VALID_FLAG]]),0,2)))</f>
        <v>1</v>
      </c>
      <c r="N12" s="1" t="str">
        <f ca="1">IFERROR(VLOOKUP(DB_TBL_DATA_FIELDS[[#This Row],[FIELD_STATUS_CODE]],DB_TBL_CONFIG_FIELDSTATUSCODES[#All],3,FALSE),"")</f>
        <v>Required</v>
      </c>
      <c r="O12" s="1" t="str">
        <f ca="1">IFERROR(VLOOKUP(DB_TBL_DATA_FIELDS[[#This Row],[FIELD_STATUS_CODE]],DB_TBL_CONFIG_FIELDSTATUSCODES[#All],4,FALSE),"")</f>
        <v>i</v>
      </c>
      <c r="P12" s="1" t="b">
        <v>1</v>
      </c>
      <c r="Q12" s="1" t="b">
        <f>TRUE</f>
        <v>1</v>
      </c>
      <c r="R12" s="1" t="s">
        <v>9</v>
      </c>
      <c r="S12" s="1">
        <f ca="1">IF(DB_TBL_DATA_FIELDS[[#This Row],[RANGE_VALIDATION_FLAG]]="Text",LEN(DB_TBL_DATA_FIELDS[[#This Row],[FIELD_VALUE_RAW]]),IFERROR(VALUE(DB_TBL_DATA_FIELDS[[#This Row],[FIELD_VALUE_RAW]]),-1))</f>
        <v>0</v>
      </c>
      <c r="T12" s="1">
        <v>0</v>
      </c>
      <c r="U12" s="1">
        <v>100</v>
      </c>
      <c r="V12" s="1" t="b">
        <f ca="1">IF(NOT(DB_TBL_DATA_FIELDS[[#This Row],[RANGE_VALIDATION_ON_FLAG]]),TRUE,
AND(DB_TBL_DATA_FIELDS[[#This Row],[RANGE_VALUE_LEN]]&gt;=DB_TBL_DATA_FIELDS[[#This Row],[RANGE_VALIDATION_MIN]],DB_TBL_DATA_FIELDS[[#This Row],[RANGE_VALUE_LEN]]&lt;=DB_TBL_DATA_FIELDS[[#This Row],[RANGE_VALIDATION_MAX]]))</f>
        <v>1</v>
      </c>
      <c r="W12" s="16">
        <v>1</v>
      </c>
      <c r="X12" s="16">
        <f ca="1">IF(DB_TBL_DATA_FIELDS[[#This Row],[PCT_CALC_SHOW_STATUS_CODE]]=1,
DB_TBL_DATA_FIELDS[[#This Row],[FIELD_STATUS_CODE]],
IF(AND(DB_TBL_DATA_FIELDS[[#This Row],[PCT_CALC_SHOW_STATUS_CODE]]=2,DB_TBL_DATA_FIELDS[[#This Row],[FIELD_STATUS_CODE]]=0),
DB_TBL_DATA_FIELDS[[#This Row],[FIELD_STATUS_CODE]],
"")
)</f>
        <v>1</v>
      </c>
      <c r="Y12" s="16"/>
    </row>
    <row r="13" spans="1:26" x14ac:dyDescent="0.2">
      <c r="A13" s="246" t="s">
        <v>2904</v>
      </c>
      <c r="B13" s="16" t="str">
        <f ca="1">IFERROR(IF(FIND(DATA_EFORM_TYPE_CODE,DB_TBL_DATA_FIELDS[[#This Row],[APPLICABLE_EFORM_LIST]])&gt;0,DATA_EFORM_TYPE_CODE,""),"")</f>
        <v/>
      </c>
      <c r="C13" s="247" t="s">
        <v>2308</v>
      </c>
      <c r="D13" s="246" t="b">
        <v>0</v>
      </c>
      <c r="E13" s="257" t="b">
        <v>1</v>
      </c>
      <c r="F13" s="2" t="s">
        <v>2312</v>
      </c>
      <c r="G13" s="249" t="str">
        <f ca="1">IFERROR(VLOOKUP(DB_TBL_DATA_FIELDS[[#This Row],[FIELD_ID]],INDIRECT(DB_TBL_DATA_FIELDS[[#This Row],[SHEET_REF_CALC]]&amp;"!A:B"),2,FALSE),"")</f>
        <v/>
      </c>
      <c r="I13" s="2" t="b">
        <f ca="1">(DB_TBL_DATA_FIELDS[[#This Row],[FIELD_VALUE_RAW]]="")</f>
        <v>1</v>
      </c>
      <c r="J13" s="2" t="s">
        <v>31</v>
      </c>
      <c r="K13" s="1" t="b">
        <f>AND(IF(DB_TBL_DATA_FIELDS[[#This Row],[FIELD_VALID_CUSTOM_LOGIC]]="",TRUE,DB_TBL_DATA_FIELDS[[#This Row],[FIELD_VALID_CUSTOM_LOGIC]]),DB_TBL_DATA_FIELDS[[#This Row],[RANGE_VALIDATION_PASSED_FLAG]])</f>
        <v>1</v>
      </c>
      <c r="L13"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3" s="1" t="str">
        <f ca="1">IF(DB_TBL_DATA_FIELDS[[#This Row],[SHEET_REF_CALC]]="","",IF(DB_TBL_DATA_FIELDS[[#This Row],[FIELD_EMPTY_FLAG]],IF(NOT(DB_TBL_DATA_FIELDS[[#This Row],[FIELD_REQ_FLAG]]),-1,1),IF(NOT(DB_TBL_DATA_FIELDS[[#This Row],[FIELD_VALID_FLAG]]),0,2)))</f>
        <v/>
      </c>
      <c r="N13" s="1" t="str">
        <f ca="1">IFERROR(VLOOKUP(DB_TBL_DATA_FIELDS[[#This Row],[FIELD_STATUS_CODE]],DB_TBL_CONFIG_FIELDSTATUSCODES[#All],3,FALSE),"")</f>
        <v/>
      </c>
      <c r="O13" s="1" t="str">
        <f ca="1">IFERROR(VLOOKUP(DB_TBL_DATA_FIELDS[[#This Row],[FIELD_STATUS_CODE]],DB_TBL_CONFIG_FIELDSTATUSCODES[#All],4,FALSE),"")</f>
        <v/>
      </c>
      <c r="P13" s="1" t="b">
        <f>TRUE</f>
        <v>1</v>
      </c>
      <c r="Q13" s="1" t="b">
        <v>0</v>
      </c>
      <c r="S13" s="1">
        <f ca="1">IF(DB_TBL_DATA_FIELDS[[#This Row],[RANGE_VALIDATION_FLAG]]="Text",LEN(DB_TBL_DATA_FIELDS[[#This Row],[FIELD_VALUE_RAW]]),IFERROR(VALUE(DB_TBL_DATA_FIELDS[[#This Row],[FIELD_VALUE_RAW]]),-1))</f>
        <v>-1</v>
      </c>
      <c r="V13" s="1" t="b">
        <f>IF(NOT(DB_TBL_DATA_FIELDS[[#This Row],[RANGE_VALIDATION_ON_FLAG]]),TRUE,
AND(DB_TBL_DATA_FIELDS[[#This Row],[RANGE_VALUE_LEN]]&gt;=DB_TBL_DATA_FIELDS[[#This Row],[RANGE_VALIDATION_MIN]],DB_TBL_DATA_FIELDS[[#This Row],[RANGE_VALUE_LEN]]&lt;=DB_TBL_DATA_FIELDS[[#This Row],[RANGE_VALIDATION_MAX]]))</f>
        <v>1</v>
      </c>
      <c r="W13" s="1">
        <v>1</v>
      </c>
      <c r="X13" s="1" t="str">
        <f ca="1">IF(DB_TBL_DATA_FIELDS[[#This Row],[PCT_CALC_SHOW_STATUS_CODE]]=1,
DB_TBL_DATA_FIELDS[[#This Row],[FIELD_STATUS_CODE]],
IF(AND(DB_TBL_DATA_FIELDS[[#This Row],[PCT_CALC_SHOW_STATUS_CODE]]=2,DB_TBL_DATA_FIELDS[[#This Row],[FIELD_STATUS_CODE]]=0),
DB_TBL_DATA_FIELDS[[#This Row],[FIELD_STATUS_CODE]],
"")
)</f>
        <v/>
      </c>
      <c r="Z13" s="1" t="s">
        <v>2946</v>
      </c>
    </row>
    <row r="14" spans="1:26" x14ac:dyDescent="0.2">
      <c r="A14" s="246" t="s">
        <v>2904</v>
      </c>
      <c r="B14" s="16" t="str">
        <f ca="1">IFERROR(IF(FIND(DATA_EFORM_TYPE_CODE,DB_TBL_DATA_FIELDS[[#This Row],[APPLICABLE_EFORM_LIST]])&gt;0,DATA_EFORM_TYPE_CODE,""),"")</f>
        <v/>
      </c>
      <c r="C14" s="247" t="s">
        <v>2248</v>
      </c>
      <c r="D14" s="16" t="b">
        <v>1</v>
      </c>
      <c r="E14" s="248" t="b">
        <v>0</v>
      </c>
      <c r="F14" s="2" t="s">
        <v>2258</v>
      </c>
      <c r="G14" s="249" t="str">
        <f ca="1">IFERROR(VLOOKUP(DB_TBL_DATA_FIELDS[[#This Row],[FIELD_ID]],INDIRECT(DB_TBL_DATA_FIELDS[[#This Row],[SHEET_REF_CALC]]&amp;"!A:B"),2,FALSE),"")</f>
        <v/>
      </c>
      <c r="I14" s="2" t="b">
        <f ca="1">(DB_TBL_DATA_FIELDS[[#This Row],[FIELD_VALUE_RAW]]="")</f>
        <v>1</v>
      </c>
      <c r="J14" s="2" t="s">
        <v>9</v>
      </c>
      <c r="K14" s="1" t="b">
        <f ca="1">AND(IF(DB_TBL_DATA_FIELDS[[#This Row],[FIELD_VALID_CUSTOM_LOGIC]]="",TRUE,DB_TBL_DATA_FIELDS[[#This Row],[FIELD_VALID_CUSTOM_LOGIC]]),DB_TBL_DATA_FIELDS[[#This Row],[RANGE_VALIDATION_PASSED_FLAG]])</f>
        <v>1</v>
      </c>
      <c r="L14"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4" s="1" t="str">
        <f ca="1">IF(DB_TBL_DATA_FIELDS[[#This Row],[SHEET_REF_CALC]]="","",IF(DB_TBL_DATA_FIELDS[[#This Row],[FIELD_EMPTY_FLAG]],IF(NOT(DB_TBL_DATA_FIELDS[[#This Row],[FIELD_REQ_FLAG]]),-1,1),IF(NOT(DB_TBL_DATA_FIELDS[[#This Row],[FIELD_VALID_FLAG]]),0,2)))</f>
        <v/>
      </c>
      <c r="N14" s="1" t="str">
        <f ca="1">IFERROR(VLOOKUP(DB_TBL_DATA_FIELDS[[#This Row],[FIELD_STATUS_CODE]],DB_TBL_CONFIG_FIELDSTATUSCODES[#All],3,FALSE),"")</f>
        <v/>
      </c>
      <c r="O14" s="1" t="str">
        <f ca="1">IFERROR(VLOOKUP(DB_TBL_DATA_FIELDS[[#This Row],[FIELD_STATUS_CODE]],DB_TBL_CONFIG_FIELDSTATUSCODES[#All],4,FALSE),"")</f>
        <v/>
      </c>
      <c r="P14" s="1" t="b">
        <v>1</v>
      </c>
      <c r="Q14" s="1" t="b">
        <f>TRUE</f>
        <v>1</v>
      </c>
      <c r="R14" s="1" t="s">
        <v>9</v>
      </c>
      <c r="S14" s="1">
        <f ca="1">IF(DB_TBL_DATA_FIELDS[[#This Row],[RANGE_VALIDATION_FLAG]]="Text",LEN(DB_TBL_DATA_FIELDS[[#This Row],[FIELD_VALUE_RAW]]),IFERROR(VALUE(DB_TBL_DATA_FIELDS[[#This Row],[FIELD_VALUE_RAW]]),-1))</f>
        <v>0</v>
      </c>
      <c r="T14" s="1">
        <v>0</v>
      </c>
      <c r="U14" s="1">
        <v>40</v>
      </c>
      <c r="V14" s="1" t="b">
        <f ca="1">IF(NOT(DB_TBL_DATA_FIELDS[[#This Row],[RANGE_VALIDATION_ON_FLAG]]),TRUE,
AND(DB_TBL_DATA_FIELDS[[#This Row],[RANGE_VALUE_LEN]]&gt;=DB_TBL_DATA_FIELDS[[#This Row],[RANGE_VALIDATION_MIN]],DB_TBL_DATA_FIELDS[[#This Row],[RANGE_VALUE_LEN]]&lt;=DB_TBL_DATA_FIELDS[[#This Row],[RANGE_VALIDATION_MAX]]))</f>
        <v>1</v>
      </c>
      <c r="W14" s="16">
        <v>1</v>
      </c>
      <c r="X14" s="16" t="str">
        <f ca="1">IF(DB_TBL_DATA_FIELDS[[#This Row],[PCT_CALC_SHOW_STATUS_CODE]]=1,
DB_TBL_DATA_FIELDS[[#This Row],[FIELD_STATUS_CODE]],
IF(AND(DB_TBL_DATA_FIELDS[[#This Row],[PCT_CALC_SHOW_STATUS_CODE]]=2,DB_TBL_DATA_FIELDS[[#This Row],[FIELD_STATUS_CODE]]=0),
DB_TBL_DATA_FIELDS[[#This Row],[FIELD_STATUS_CODE]],
"")
)</f>
        <v/>
      </c>
      <c r="Y14" s="16"/>
    </row>
    <row r="15" spans="1:26" x14ac:dyDescent="0.2">
      <c r="A15" s="246" t="s">
        <v>2904</v>
      </c>
      <c r="B15" s="16" t="str">
        <f ca="1">IFERROR(IF(FIND(DATA_EFORM_TYPE_CODE,DB_TBL_DATA_FIELDS[[#This Row],[APPLICABLE_EFORM_LIST]])&gt;0,DATA_EFORM_TYPE_CODE,""),"")</f>
        <v/>
      </c>
      <c r="C15" s="247" t="s">
        <v>2249</v>
      </c>
      <c r="D15" s="24" t="b">
        <v>1</v>
      </c>
      <c r="E15" s="248" t="b">
        <v>0</v>
      </c>
      <c r="F15" s="2" t="s">
        <v>2259</v>
      </c>
      <c r="G15" s="249" t="str">
        <f ca="1">IFERROR(VLOOKUP(DB_TBL_DATA_FIELDS[[#This Row],[FIELD_ID]],INDIRECT(DB_TBL_DATA_FIELDS[[#This Row],[SHEET_REF_CALC]]&amp;"!A:B"),2,FALSE),"")</f>
        <v/>
      </c>
      <c r="H15" s="25"/>
      <c r="I15" s="25" t="b">
        <f ca="1">(DB_TBL_DATA_FIELDS[[#This Row],[FIELD_VALUE_RAW]]="")</f>
        <v>1</v>
      </c>
      <c r="J15" s="25" t="s">
        <v>9</v>
      </c>
      <c r="K15" s="24" t="b">
        <f ca="1">AND(IF(DB_TBL_DATA_FIELDS[[#This Row],[FIELD_VALID_CUSTOM_LOGIC]]="",TRUE,DB_TBL_DATA_FIELDS[[#This Row],[FIELD_VALID_CUSTOM_LOGIC]]),DB_TBL_DATA_FIELDS[[#This Row],[RANGE_VALIDATION_PASSED_FLAG]])</f>
        <v>1</v>
      </c>
      <c r="L15" s="25"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5" s="24" t="str">
        <f ca="1">IF(DB_TBL_DATA_FIELDS[[#This Row],[SHEET_REF_CALC]]="","",IF(DB_TBL_DATA_FIELDS[[#This Row],[FIELD_EMPTY_FLAG]],IF(NOT(DB_TBL_DATA_FIELDS[[#This Row],[FIELD_REQ_FLAG]]),-1,1),IF(NOT(DB_TBL_DATA_FIELDS[[#This Row],[FIELD_VALID_FLAG]]),0,2)))</f>
        <v/>
      </c>
      <c r="N15" s="24" t="str">
        <f ca="1">IFERROR(VLOOKUP(DB_TBL_DATA_FIELDS[[#This Row],[FIELD_STATUS_CODE]],DB_TBL_CONFIG_FIELDSTATUSCODES[#All],3,FALSE),"")</f>
        <v/>
      </c>
      <c r="O15" s="24" t="str">
        <f ca="1">IFERROR(VLOOKUP(DB_TBL_DATA_FIELDS[[#This Row],[FIELD_STATUS_CODE]],DB_TBL_CONFIG_FIELDSTATUSCODES[#All],4,FALSE),"")</f>
        <v/>
      </c>
      <c r="P15" s="24" t="b">
        <f>TRUE</f>
        <v>1</v>
      </c>
      <c r="Q15" s="24" t="b">
        <f>TRUE</f>
        <v>1</v>
      </c>
      <c r="R15" s="24" t="s">
        <v>9</v>
      </c>
      <c r="S15" s="24">
        <f ca="1">IF(DB_TBL_DATA_FIELDS[[#This Row],[RANGE_VALIDATION_FLAG]]="Text",LEN(DB_TBL_DATA_FIELDS[[#This Row],[FIELD_VALUE_RAW]]),IFERROR(VALUE(DB_TBL_DATA_FIELDS[[#This Row],[FIELD_VALUE_RAW]]),-1))</f>
        <v>0</v>
      </c>
      <c r="T15" s="24">
        <v>0</v>
      </c>
      <c r="U15" s="24">
        <v>40</v>
      </c>
      <c r="V15" s="24" t="b">
        <f ca="1">IF(NOT(DB_TBL_DATA_FIELDS[[#This Row],[RANGE_VALIDATION_ON_FLAG]]),TRUE,
AND(DB_TBL_DATA_FIELDS[[#This Row],[RANGE_VALUE_LEN]]&gt;=DB_TBL_DATA_FIELDS[[#This Row],[RANGE_VALIDATION_MIN]],DB_TBL_DATA_FIELDS[[#This Row],[RANGE_VALUE_LEN]]&lt;=DB_TBL_DATA_FIELDS[[#This Row],[RANGE_VALIDATION_MAX]]))</f>
        <v>1</v>
      </c>
      <c r="W15" s="16">
        <v>1</v>
      </c>
      <c r="X15" s="16" t="str">
        <f ca="1">IF(DB_TBL_DATA_FIELDS[[#This Row],[PCT_CALC_SHOW_STATUS_CODE]]=1,
DB_TBL_DATA_FIELDS[[#This Row],[FIELD_STATUS_CODE]],
IF(AND(DB_TBL_DATA_FIELDS[[#This Row],[PCT_CALC_SHOW_STATUS_CODE]]=2,DB_TBL_DATA_FIELDS[[#This Row],[FIELD_STATUS_CODE]]=0),
DB_TBL_DATA_FIELDS[[#This Row],[FIELD_STATUS_CODE]],
"")
)</f>
        <v/>
      </c>
      <c r="Y15" s="16"/>
      <c r="Z15" s="24"/>
    </row>
    <row r="16" spans="1:26" x14ac:dyDescent="0.2">
      <c r="A16" s="1" t="s">
        <v>2245</v>
      </c>
      <c r="B16" s="16" t="str">
        <f ca="1">IFERROR(IF(FIND(DATA_EFORM_TYPE_CODE,DB_TBL_DATA_FIELDS[[#This Row],[APPLICABLE_EFORM_LIST]])&gt;0,DATA_EFORM_TYPE_CODE,""),"")</f>
        <v>RES</v>
      </c>
      <c r="C16" s="1" t="s">
        <v>2905</v>
      </c>
      <c r="D16" s="1" t="b">
        <v>1</v>
      </c>
      <c r="E16" s="26" t="b">
        <v>1</v>
      </c>
      <c r="F16" s="2" t="s">
        <v>2906</v>
      </c>
      <c r="G16" s="2" t="str">
        <f ca="1">IFERROR(VLOOKUP(DB_TBL_DATA_FIELDS[[#This Row],[FIELD_ID]],INDIRECT(DB_TBL_DATA_FIELDS[[#This Row],[SHEET_REF_CALC]]&amp;"!A:B"),2,FALSE),"")</f>
        <v/>
      </c>
      <c r="I16" s="2" t="b">
        <f ca="1">(DB_TBL_DATA_FIELDS[[#This Row],[FIELD_VALUE_RAW]]="")</f>
        <v>1</v>
      </c>
      <c r="J16" s="2" t="s">
        <v>9</v>
      </c>
      <c r="K16" s="1" t="b">
        <f ca="1">AND(IF(DB_TBL_DATA_FIELDS[[#This Row],[FIELD_VALID_CUSTOM_LOGIC]]="",TRUE,DB_TBL_DATA_FIELDS[[#This Row],[FIELD_VALID_CUSTOM_LOGIC]]),DB_TBL_DATA_FIELDS[[#This Row],[RANGE_VALIDATION_PASSED_FLAG]])</f>
        <v>1</v>
      </c>
      <c r="L16"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6" s="1">
        <f ca="1">IF(DB_TBL_DATA_FIELDS[[#This Row],[SHEET_REF_CALC]]="","",IF(DB_TBL_DATA_FIELDS[[#This Row],[FIELD_EMPTY_FLAG]],IF(NOT(DB_TBL_DATA_FIELDS[[#This Row],[FIELD_REQ_FLAG]]),-1,1),IF(NOT(DB_TBL_DATA_FIELDS[[#This Row],[FIELD_VALID_FLAG]]),0,2)))</f>
        <v>1</v>
      </c>
      <c r="N16" s="1" t="str">
        <f ca="1">IFERROR(VLOOKUP(DB_TBL_DATA_FIELDS[[#This Row],[FIELD_STATUS_CODE]],DB_TBL_CONFIG_FIELDSTATUSCODES[#All],3,FALSE),"")</f>
        <v>Required</v>
      </c>
      <c r="O16" s="1" t="str">
        <f ca="1">IFERROR(VLOOKUP(DB_TBL_DATA_FIELDS[[#This Row],[FIELD_STATUS_CODE]],DB_TBL_CONFIG_FIELDSTATUSCODES[#All],4,FALSE),"")</f>
        <v>i</v>
      </c>
      <c r="P16" s="1" t="b">
        <f>TRUE</f>
        <v>1</v>
      </c>
      <c r="Q16" s="1" t="b">
        <f>TRUE</f>
        <v>1</v>
      </c>
      <c r="R16" s="1" t="s">
        <v>9</v>
      </c>
      <c r="S16" s="1">
        <f ca="1">IF(DB_TBL_DATA_FIELDS[[#This Row],[RANGE_VALIDATION_FLAG]]="Text",LEN(DB_TBL_DATA_FIELDS[[#This Row],[FIELD_VALUE_RAW]]),IFERROR(VALUE(DB_TBL_DATA_FIELDS[[#This Row],[FIELD_VALUE_RAW]]),-1))</f>
        <v>0</v>
      </c>
      <c r="T16" s="1">
        <v>0</v>
      </c>
      <c r="U16" s="1">
        <v>100</v>
      </c>
      <c r="V16" s="1" t="b">
        <f ca="1">IF(NOT(DB_TBL_DATA_FIELDS[[#This Row],[RANGE_VALIDATION_ON_FLAG]]),TRUE,
AND(DB_TBL_DATA_FIELDS[[#This Row],[RANGE_VALUE_LEN]]&gt;=DB_TBL_DATA_FIELDS[[#This Row],[RANGE_VALIDATION_MIN]],DB_TBL_DATA_FIELDS[[#This Row],[RANGE_VALUE_LEN]]&lt;=DB_TBL_DATA_FIELDS[[#This Row],[RANGE_VALIDATION_MAX]]))</f>
        <v>1</v>
      </c>
      <c r="W16" s="1">
        <v>1</v>
      </c>
      <c r="X16" s="1">
        <f ca="1">IF(DB_TBL_DATA_FIELDS[[#This Row],[PCT_CALC_SHOW_STATUS_CODE]]=1,
DB_TBL_DATA_FIELDS[[#This Row],[FIELD_STATUS_CODE]],
IF(AND(DB_TBL_DATA_FIELDS[[#This Row],[PCT_CALC_SHOW_STATUS_CODE]]=2,DB_TBL_DATA_FIELDS[[#This Row],[FIELD_STATUS_CODE]]=0),
DB_TBL_DATA_FIELDS[[#This Row],[FIELD_STATUS_CODE]],
"")
)</f>
        <v>1</v>
      </c>
      <c r="Y16" s="1"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row>
    <row r="17" spans="1:26" x14ac:dyDescent="0.2">
      <c r="A17" s="1" t="s">
        <v>2245</v>
      </c>
      <c r="B17" s="16" t="str">
        <f ca="1">IFERROR(IF(FIND(DATA_EFORM_TYPE_CODE,DB_TBL_DATA_FIELDS[[#This Row],[APPLICABLE_EFORM_LIST]])&gt;0,DATA_EFORM_TYPE_CODE,""),"")</f>
        <v>RES</v>
      </c>
      <c r="C17" s="1" t="s">
        <v>2907</v>
      </c>
      <c r="D17" s="1" t="b">
        <v>1</v>
      </c>
      <c r="E17" s="26" t="b">
        <v>1</v>
      </c>
      <c r="F17" s="2" t="s">
        <v>2909</v>
      </c>
      <c r="G17" s="2" t="str">
        <f ca="1">IFERROR(VLOOKUP(DB_TBL_DATA_FIELDS[[#This Row],[FIELD_ID]],INDIRECT(DB_TBL_DATA_FIELDS[[#This Row],[SHEET_REF_CALC]]&amp;"!A:B"),2,FALSE),"")</f>
        <v/>
      </c>
      <c r="I17" s="2" t="b">
        <f ca="1">(DB_TBL_DATA_FIELDS[[#This Row],[FIELD_VALUE_RAW]]="")</f>
        <v>1</v>
      </c>
      <c r="J17" s="2" t="s">
        <v>9</v>
      </c>
      <c r="K17" s="1" t="b">
        <f ca="1">AND(IF(DB_TBL_DATA_FIELDS[[#This Row],[FIELD_VALID_CUSTOM_LOGIC]]="",TRUE,DB_TBL_DATA_FIELDS[[#This Row],[FIELD_VALID_CUSTOM_LOGIC]]),DB_TBL_DATA_FIELDS[[#This Row],[RANGE_VALIDATION_PASSED_FLAG]])</f>
        <v>1</v>
      </c>
      <c r="L1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7" s="1">
        <f ca="1">IF(DB_TBL_DATA_FIELDS[[#This Row],[SHEET_REF_CALC]]="","",IF(DB_TBL_DATA_FIELDS[[#This Row],[FIELD_EMPTY_FLAG]],IF(NOT(DB_TBL_DATA_FIELDS[[#This Row],[FIELD_REQ_FLAG]]),-1,1),IF(NOT(DB_TBL_DATA_FIELDS[[#This Row],[FIELD_VALID_FLAG]]),0,2)))</f>
        <v>1</v>
      </c>
      <c r="N17" s="1" t="str">
        <f ca="1">IFERROR(VLOOKUP(DB_TBL_DATA_FIELDS[[#This Row],[FIELD_STATUS_CODE]],DB_TBL_CONFIG_FIELDSTATUSCODES[#All],3,FALSE),"")</f>
        <v>Required</v>
      </c>
      <c r="O17" s="1" t="str">
        <f ca="1">IFERROR(VLOOKUP(DB_TBL_DATA_FIELDS[[#This Row],[FIELD_STATUS_CODE]],DB_TBL_CONFIG_FIELDSTATUSCODES[#All],4,FALSE),"")</f>
        <v>i</v>
      </c>
      <c r="P17" s="1" t="b">
        <f>TRUE</f>
        <v>1</v>
      </c>
      <c r="Q17" s="1" t="b">
        <f>TRUE</f>
        <v>1</v>
      </c>
      <c r="R17" s="1" t="s">
        <v>9</v>
      </c>
      <c r="S17" s="1">
        <f ca="1">IF(DB_TBL_DATA_FIELDS[[#This Row],[RANGE_VALIDATION_FLAG]]="Text",LEN(DB_TBL_DATA_FIELDS[[#This Row],[FIELD_VALUE_RAW]]),IFERROR(VALUE(DB_TBL_DATA_FIELDS[[#This Row],[FIELD_VALUE_RAW]]),-1))</f>
        <v>0</v>
      </c>
      <c r="T17" s="1">
        <v>0</v>
      </c>
      <c r="U17" s="1">
        <v>100</v>
      </c>
      <c r="V17" s="1" t="b">
        <f ca="1">IF(NOT(DB_TBL_DATA_FIELDS[[#This Row],[RANGE_VALIDATION_ON_FLAG]]),TRUE,
AND(DB_TBL_DATA_FIELDS[[#This Row],[RANGE_VALUE_LEN]]&gt;=DB_TBL_DATA_FIELDS[[#This Row],[RANGE_VALIDATION_MIN]],DB_TBL_DATA_FIELDS[[#This Row],[RANGE_VALUE_LEN]]&lt;=DB_TBL_DATA_FIELDS[[#This Row],[RANGE_VALIDATION_MAX]]))</f>
        <v>1</v>
      </c>
      <c r="W17" s="1">
        <v>1</v>
      </c>
      <c r="X17" s="1">
        <f ca="1">IF(DB_TBL_DATA_FIELDS[[#This Row],[PCT_CALC_SHOW_STATUS_CODE]]=1,
DB_TBL_DATA_FIELDS[[#This Row],[FIELD_STATUS_CODE]],
IF(AND(DB_TBL_DATA_FIELDS[[#This Row],[PCT_CALC_SHOW_STATUS_CODE]]=2,DB_TBL_DATA_FIELDS[[#This Row],[FIELD_STATUS_CODE]]=0),
DB_TBL_DATA_FIELDS[[#This Row],[FIELD_STATUS_CODE]],
"")
)</f>
        <v>1</v>
      </c>
      <c r="Y17" s="1"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row>
    <row r="18" spans="1:26" x14ac:dyDescent="0.2">
      <c r="A18" s="1" t="s">
        <v>2245</v>
      </c>
      <c r="B18" s="16" t="str">
        <f ca="1">IFERROR(IF(FIND(DATA_EFORM_TYPE_CODE,DB_TBL_DATA_FIELDS[[#This Row],[APPLICABLE_EFORM_LIST]])&gt;0,DATA_EFORM_TYPE_CODE,""),"")</f>
        <v>RES</v>
      </c>
      <c r="C18" s="1" t="s">
        <v>2908</v>
      </c>
      <c r="D18" s="1" t="b">
        <v>1</v>
      </c>
      <c r="E18" s="26" t="b">
        <v>1</v>
      </c>
      <c r="F18" s="2" t="s">
        <v>2910</v>
      </c>
      <c r="G18" s="2" t="str">
        <f ca="1">IFERROR(VLOOKUP(DB_TBL_DATA_FIELDS[[#This Row],[FIELD_ID]],INDIRECT(DB_TBL_DATA_FIELDS[[#This Row],[SHEET_REF_CALC]]&amp;"!A:B"),2,FALSE),"")</f>
        <v/>
      </c>
      <c r="I18" s="2" t="b">
        <f ca="1">(DB_TBL_DATA_FIELDS[[#This Row],[FIELD_VALUE_RAW]]="")</f>
        <v>1</v>
      </c>
      <c r="J18" s="2" t="s">
        <v>31</v>
      </c>
      <c r="K18" s="1" t="b">
        <f>AND(IF(DB_TBL_DATA_FIELDS[[#This Row],[FIELD_VALID_CUSTOM_LOGIC]]="",TRUE,DB_TBL_DATA_FIELDS[[#This Row],[FIELD_VALID_CUSTOM_LOGIC]]),DB_TBL_DATA_FIELDS[[#This Row],[RANGE_VALIDATION_PASSED_FLAG]])</f>
        <v>1</v>
      </c>
      <c r="L18"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8" s="1">
        <f ca="1">IF(DB_TBL_DATA_FIELDS[[#This Row],[SHEET_REF_CALC]]="","",IF(DB_TBL_DATA_FIELDS[[#This Row],[FIELD_EMPTY_FLAG]],IF(NOT(DB_TBL_DATA_FIELDS[[#This Row],[FIELD_REQ_FLAG]]),-1,1),IF(NOT(DB_TBL_DATA_FIELDS[[#This Row],[FIELD_VALID_FLAG]]),0,2)))</f>
        <v>1</v>
      </c>
      <c r="N18" s="1" t="str">
        <f ca="1">IFERROR(VLOOKUP(DB_TBL_DATA_FIELDS[[#This Row],[FIELD_STATUS_CODE]],DB_TBL_CONFIG_FIELDSTATUSCODES[#All],3,FALSE),"")</f>
        <v>Required</v>
      </c>
      <c r="O18" s="1" t="str">
        <f ca="1">IFERROR(VLOOKUP(DB_TBL_DATA_FIELDS[[#This Row],[FIELD_STATUS_CODE]],DB_TBL_CONFIG_FIELDSTATUSCODES[#All],4,FALSE),"")</f>
        <v>i</v>
      </c>
      <c r="P18" s="1" t="b">
        <f>TRUE</f>
        <v>1</v>
      </c>
      <c r="Q18" s="1" t="b">
        <v>0</v>
      </c>
      <c r="S18" s="1">
        <f ca="1">IF(DB_TBL_DATA_FIELDS[[#This Row],[RANGE_VALIDATION_FLAG]]="Text",LEN(DB_TBL_DATA_FIELDS[[#This Row],[FIELD_VALUE_RAW]]),IFERROR(VALUE(DB_TBL_DATA_FIELDS[[#This Row],[FIELD_VALUE_RAW]]),-1))</f>
        <v>-1</v>
      </c>
      <c r="V18" s="1" t="b">
        <f>IF(NOT(DB_TBL_DATA_FIELDS[[#This Row],[RANGE_VALIDATION_ON_FLAG]]),TRUE,
AND(DB_TBL_DATA_FIELDS[[#This Row],[RANGE_VALUE_LEN]]&gt;=DB_TBL_DATA_FIELDS[[#This Row],[RANGE_VALIDATION_MIN]],DB_TBL_DATA_FIELDS[[#This Row],[RANGE_VALUE_LEN]]&lt;=DB_TBL_DATA_FIELDS[[#This Row],[RANGE_VALIDATION_MAX]]))</f>
        <v>1</v>
      </c>
      <c r="W18" s="1">
        <v>1</v>
      </c>
      <c r="X18" s="1">
        <f ca="1">IF(DB_TBL_DATA_FIELDS[[#This Row],[PCT_CALC_SHOW_STATUS_CODE]]=1,
DB_TBL_DATA_FIELDS[[#This Row],[FIELD_STATUS_CODE]],
IF(AND(DB_TBL_DATA_FIELDS[[#This Row],[PCT_CALC_SHOW_STATUS_CODE]]=2,DB_TBL_DATA_FIELDS[[#This Row],[FIELD_STATUS_CODE]]=0),
DB_TBL_DATA_FIELDS[[#This Row],[FIELD_STATUS_CODE]],
"")
)</f>
        <v>1</v>
      </c>
      <c r="Y18" s="1"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row>
    <row r="19" spans="1:26" x14ac:dyDescent="0.2">
      <c r="A19" s="1" t="s">
        <v>2245</v>
      </c>
      <c r="B19" s="16" t="str">
        <f ca="1">IFERROR(IF(FIND(DATA_EFORM_TYPE_CODE,DB_TBL_DATA_FIELDS[[#This Row],[APPLICABLE_EFORM_LIST]])&gt;0,DATA_EFORM_TYPE_CODE,""),"")</f>
        <v>RES</v>
      </c>
      <c r="C19" s="1" t="s">
        <v>2256</v>
      </c>
      <c r="D19" s="16" t="b">
        <v>1</v>
      </c>
      <c r="E19" s="18" t="b">
        <v>1</v>
      </c>
      <c r="F19" s="2" t="s">
        <v>2260</v>
      </c>
      <c r="G19" s="2" t="str">
        <f ca="1">IFERROR(VLOOKUP(DB_TBL_DATA_FIELDS[[#This Row],[FIELD_ID]],INDIRECT(DB_TBL_DATA_FIELDS[[#This Row],[SHEET_REF_CALC]]&amp;"!A:B"),2,FALSE),"")</f>
        <v/>
      </c>
      <c r="H19" s="21" t="b">
        <f ca="1">AND(
IFERROR(SEARCH(".",DB_TBL_DATA_FIELDS[[#This Row],[FIELD_VALUE_RAW]],(SEARCH("@",DB_TBL_DATA_FIELDS[[#This Row],[FIELD_VALUE_RAW]],1))+2),0)&gt;0,
NOT(IFERROR(SEARCH(".",RIGHT(DB_TBL_DATA_FIELDS[[#This Row],[FIELD_VALUE_RAW]],2)),0)&gt;0)
)</f>
        <v>0</v>
      </c>
      <c r="I19" s="2" t="b">
        <f ca="1">(DB_TBL_DATA_FIELDS[[#This Row],[FIELD_VALUE_RAW]]="")</f>
        <v>1</v>
      </c>
      <c r="J19" s="2" t="s">
        <v>9</v>
      </c>
      <c r="K19" s="1" t="b">
        <f ca="1">AND(IF(DB_TBL_DATA_FIELDS[[#This Row],[FIELD_VALID_CUSTOM_LOGIC]]="",TRUE,DB_TBL_DATA_FIELDS[[#This Row],[FIELD_VALID_CUSTOM_LOGIC]]),DB_TBL_DATA_FIELDS[[#This Row],[RANGE_VALIDATION_PASSED_FLAG]])</f>
        <v>0</v>
      </c>
      <c r="L19"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9" s="1">
        <f ca="1">IF(DB_TBL_DATA_FIELDS[[#This Row],[SHEET_REF_CALC]]="","",IF(DB_TBL_DATA_FIELDS[[#This Row],[FIELD_EMPTY_FLAG]],IF(NOT(DB_TBL_DATA_FIELDS[[#This Row],[FIELD_REQ_FLAG]]),-1,1),IF(NOT(DB_TBL_DATA_FIELDS[[#This Row],[FIELD_VALID_FLAG]]),0,2)))</f>
        <v>1</v>
      </c>
      <c r="N19" s="1" t="str">
        <f ca="1">IFERROR(VLOOKUP(DB_TBL_DATA_FIELDS[[#This Row],[FIELD_STATUS_CODE]],DB_TBL_CONFIG_FIELDSTATUSCODES[#All],3,FALSE),"")</f>
        <v>Required</v>
      </c>
      <c r="O19" s="1" t="str">
        <f ca="1">IFERROR(VLOOKUP(DB_TBL_DATA_FIELDS[[#This Row],[FIELD_STATUS_CODE]],DB_TBL_CONFIG_FIELDSTATUSCODES[#All],4,FALSE),"")</f>
        <v>i</v>
      </c>
      <c r="P19" s="1" t="b">
        <v>1</v>
      </c>
      <c r="Q19" s="1" t="b">
        <f>TRUE</f>
        <v>1</v>
      </c>
      <c r="R19" s="1" t="s">
        <v>9</v>
      </c>
      <c r="S19" s="1">
        <f ca="1">IF(DB_TBL_DATA_FIELDS[[#This Row],[RANGE_VALIDATION_FLAG]]="Text",LEN(DB_TBL_DATA_FIELDS[[#This Row],[FIELD_VALUE_RAW]]),IFERROR(VALUE(DB_TBL_DATA_FIELDS[[#This Row],[FIELD_VALUE_RAW]]),-1))</f>
        <v>0</v>
      </c>
      <c r="T19" s="1">
        <v>0</v>
      </c>
      <c r="U19" s="1">
        <v>60</v>
      </c>
      <c r="V19" s="1" t="b">
        <f ca="1">IF(NOT(DB_TBL_DATA_FIELDS[[#This Row],[RANGE_VALIDATION_ON_FLAG]]),TRUE,
AND(DB_TBL_DATA_FIELDS[[#This Row],[RANGE_VALUE_LEN]]&gt;=DB_TBL_DATA_FIELDS[[#This Row],[RANGE_VALIDATION_MIN]],DB_TBL_DATA_FIELDS[[#This Row],[RANGE_VALUE_LEN]]&lt;=DB_TBL_DATA_FIELDS[[#This Row],[RANGE_VALIDATION_MAX]]))</f>
        <v>1</v>
      </c>
      <c r="W19" s="16">
        <v>1</v>
      </c>
      <c r="X19" s="16">
        <f ca="1">IF(DB_TBL_DATA_FIELDS[[#This Row],[PCT_CALC_SHOW_STATUS_CODE]]=1,
DB_TBL_DATA_FIELDS[[#This Row],[FIELD_STATUS_CODE]],
IF(AND(DB_TBL_DATA_FIELDS[[#This Row],[PCT_CALC_SHOW_STATUS_CODE]]=2,DB_TBL_DATA_FIELDS[[#This Row],[FIELD_STATUS_CODE]]=0),
DB_TBL_DATA_FIELDS[[#This Row],[FIELD_STATUS_CODE]],
"")
)</f>
        <v>1</v>
      </c>
      <c r="Y19" s="16"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row>
    <row r="20" spans="1:26" ht="13.5" thickBot="1" x14ac:dyDescent="0.25">
      <c r="A20" s="104" t="s">
        <v>2245</v>
      </c>
      <c r="B20" s="108" t="str">
        <f ca="1">IFERROR(IF(FIND(DATA_EFORM_TYPE_CODE,DB_TBL_DATA_FIELDS[[#This Row],[APPLICABLE_EFORM_LIST]])&gt;0,DATA_EFORM_TYPE_CODE,""),"")</f>
        <v>RES</v>
      </c>
      <c r="C20" s="104" t="s">
        <v>2257</v>
      </c>
      <c r="D20" s="108" t="b">
        <v>1</v>
      </c>
      <c r="E20" s="117" t="b">
        <v>1</v>
      </c>
      <c r="F20" s="106" t="s">
        <v>2261</v>
      </c>
      <c r="G20" s="106" t="str">
        <f ca="1">IFERROR(VLOOKUP(DB_TBL_DATA_FIELDS[[#This Row],[FIELD_ID]],INDIRECT(DB_TBL_DATA_FIELDS[[#This Row],[SHEET_REF_CALC]]&amp;"!A:B"),2,FALSE),"")</f>
        <v/>
      </c>
      <c r="H20" s="106"/>
      <c r="I20" s="106" t="b">
        <f ca="1">(DB_TBL_DATA_FIELDS[[#This Row],[FIELD_VALUE_RAW]]="")</f>
        <v>1</v>
      </c>
      <c r="J20" s="106" t="s">
        <v>9</v>
      </c>
      <c r="K20" s="104" t="b">
        <f ca="1">AND(IF(DB_TBL_DATA_FIELDS[[#This Row],[FIELD_VALID_CUSTOM_LOGIC]]="",TRUE,DB_TBL_DATA_FIELDS[[#This Row],[FIELD_VALID_CUSTOM_LOGIC]]),DB_TBL_DATA_FIELDS[[#This Row],[RANGE_VALIDATION_PASSED_FLAG]])</f>
        <v>1</v>
      </c>
      <c r="L20" s="1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0" s="104">
        <f ca="1">IF(DB_TBL_DATA_FIELDS[[#This Row],[SHEET_REF_CALC]]="","",IF(DB_TBL_DATA_FIELDS[[#This Row],[FIELD_EMPTY_FLAG]],IF(NOT(DB_TBL_DATA_FIELDS[[#This Row],[FIELD_REQ_FLAG]]),-1,1),IF(NOT(DB_TBL_DATA_FIELDS[[#This Row],[FIELD_VALID_FLAG]]),0,2)))</f>
        <v>1</v>
      </c>
      <c r="N20" s="104" t="str">
        <f ca="1">IFERROR(VLOOKUP(DB_TBL_DATA_FIELDS[[#This Row],[FIELD_STATUS_CODE]],DB_TBL_CONFIG_FIELDSTATUSCODES[#All],3,FALSE),"")</f>
        <v>Required</v>
      </c>
      <c r="O20" s="104" t="str">
        <f ca="1">IFERROR(VLOOKUP(DB_TBL_DATA_FIELDS[[#This Row],[FIELD_STATUS_CODE]],DB_TBL_CONFIG_FIELDSTATUSCODES[#All],4,FALSE),"")</f>
        <v>i</v>
      </c>
      <c r="P20" s="104" t="b">
        <v>1</v>
      </c>
      <c r="Q20" s="104" t="b">
        <f>TRUE</f>
        <v>1</v>
      </c>
      <c r="R20" s="104" t="s">
        <v>9</v>
      </c>
      <c r="S20" s="104">
        <f ca="1">IF(DB_TBL_DATA_FIELDS[[#This Row],[RANGE_VALIDATION_FLAG]]="Text",LEN(DB_TBL_DATA_FIELDS[[#This Row],[FIELD_VALUE_RAW]]),IFERROR(VALUE(DB_TBL_DATA_FIELDS[[#This Row],[FIELD_VALUE_RAW]]),-1))</f>
        <v>0</v>
      </c>
      <c r="T20" s="104">
        <v>0</v>
      </c>
      <c r="U20" s="104">
        <v>50</v>
      </c>
      <c r="V20" s="104" t="b">
        <f ca="1">IF(NOT(DB_TBL_DATA_FIELDS[[#This Row],[RANGE_VALIDATION_ON_FLAG]]),TRUE,
AND(DB_TBL_DATA_FIELDS[[#This Row],[RANGE_VALUE_LEN]]&gt;=DB_TBL_DATA_FIELDS[[#This Row],[RANGE_VALIDATION_MIN]],DB_TBL_DATA_FIELDS[[#This Row],[RANGE_VALUE_LEN]]&lt;=DB_TBL_DATA_FIELDS[[#This Row],[RANGE_VALIDATION_MAX]]))</f>
        <v>1</v>
      </c>
      <c r="W20" s="108">
        <v>1</v>
      </c>
      <c r="X20" s="108">
        <f ca="1">IF(DB_TBL_DATA_FIELDS[[#This Row],[PCT_CALC_SHOW_STATUS_CODE]]=1,
DB_TBL_DATA_FIELDS[[#This Row],[FIELD_STATUS_CODE]],
IF(AND(DB_TBL_DATA_FIELDS[[#This Row],[PCT_CALC_SHOW_STATUS_CODE]]=2,DB_TBL_DATA_FIELDS[[#This Row],[FIELD_STATUS_CODE]]=0),
DB_TBL_DATA_FIELDS[[#This Row],[FIELD_STATUS_CODE]],
"")
)</f>
        <v>1</v>
      </c>
      <c r="Y20" s="108"/>
      <c r="Z20" s="104"/>
    </row>
    <row r="21" spans="1:26" x14ac:dyDescent="0.2">
      <c r="A21" s="246" t="s">
        <v>2904</v>
      </c>
      <c r="B21" s="16" t="str">
        <f ca="1">IFERROR(IF(FIND(DATA_EFORM_TYPE_CODE,DB_TBL_DATA_FIELDS[[#This Row],[APPLICABLE_EFORM_LIST]])&gt;0,DATA_EFORM_TYPE_CODE,""),"")</f>
        <v/>
      </c>
      <c r="C21" s="247" t="s">
        <v>2373</v>
      </c>
      <c r="D21" s="1" t="b">
        <v>1</v>
      </c>
      <c r="E21" s="248" t="b">
        <v>0</v>
      </c>
      <c r="F21" s="2" t="s">
        <v>2374</v>
      </c>
      <c r="G21" s="110" t="b">
        <v>0</v>
      </c>
      <c r="I21" s="2" t="b">
        <f>(DB_TBL_DATA_FIELDS[[#This Row],[FIELD_VALUE_RAW]]="")</f>
        <v>0</v>
      </c>
      <c r="J21" s="2" t="s">
        <v>140</v>
      </c>
      <c r="K21" s="1" t="b">
        <f>AND(IF(DB_TBL_DATA_FIELDS[[#This Row],[FIELD_VALID_CUSTOM_LOGIC]]="",TRUE,DB_TBL_DATA_FIELDS[[#This Row],[FIELD_VALID_CUSTOM_LOGIC]]),DB_TBL_DATA_FIELDS[[#This Row],[RANGE_VALIDATION_PASSED_FLAG]])</f>
        <v>1</v>
      </c>
      <c r="L21" s="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N</v>
      </c>
      <c r="M21" s="1" t="str">
        <f ca="1">IF(DB_TBL_DATA_FIELDS[[#This Row],[SHEET_REF_CALC]]="","",IF(DB_TBL_DATA_FIELDS[[#This Row],[FIELD_EMPTY_FLAG]],IF(NOT(DB_TBL_DATA_FIELDS[[#This Row],[FIELD_REQ_FLAG]]),-1,1),IF(NOT(DB_TBL_DATA_FIELDS[[#This Row],[FIELD_VALID_FLAG]]),0,2)))</f>
        <v/>
      </c>
      <c r="N21" s="1" t="str">
        <f ca="1">IFERROR(VLOOKUP(DB_TBL_DATA_FIELDS[[#This Row],[FIELD_STATUS_CODE]],DB_TBL_CONFIG_FIELDSTATUSCODES[#All],3,FALSE),"")</f>
        <v/>
      </c>
      <c r="O21" s="1" t="str">
        <f ca="1">IFERROR(VLOOKUP(DB_TBL_DATA_FIELDS[[#This Row],[FIELD_STATUS_CODE]],DB_TBL_CONFIG_FIELDSTATUSCODES[#All],4,FALSE),"")</f>
        <v/>
      </c>
      <c r="P21" s="1" t="b">
        <f>TRUE</f>
        <v>1</v>
      </c>
      <c r="Q21" s="1" t="b">
        <v>0</v>
      </c>
      <c r="S21" s="1">
        <f>IF(DB_TBL_DATA_FIELDS[[#This Row],[RANGE_VALIDATION_FLAG]]="Text",LEN(DB_TBL_DATA_FIELDS[[#This Row],[FIELD_VALUE_RAW]]),IFERROR(VALUE(DB_TBL_DATA_FIELDS[[#This Row],[FIELD_VALUE_RAW]]),-1))</f>
        <v>-1</v>
      </c>
      <c r="V21" s="1" t="b">
        <f>IF(NOT(DB_TBL_DATA_FIELDS[[#This Row],[RANGE_VALIDATION_ON_FLAG]]),TRUE,
AND(DB_TBL_DATA_FIELDS[[#This Row],[RANGE_VALUE_LEN]]&gt;=DB_TBL_DATA_FIELDS[[#This Row],[RANGE_VALIDATION_MIN]],DB_TBL_DATA_FIELDS[[#This Row],[RANGE_VALUE_LEN]]&lt;=DB_TBL_DATA_FIELDS[[#This Row],[RANGE_VALIDATION_MAX]]))</f>
        <v>1</v>
      </c>
      <c r="W21" s="1">
        <v>1</v>
      </c>
      <c r="X21" s="1" t="str">
        <f ca="1">IF(DB_TBL_DATA_FIELDS[[#This Row],[PCT_CALC_SHOW_STATUS_CODE]]=1,
DB_TBL_DATA_FIELDS[[#This Row],[FIELD_STATUS_CODE]],
IF(AND(DB_TBL_DATA_FIELDS[[#This Row],[PCT_CALC_SHOW_STATUS_CODE]]=2,DB_TBL_DATA_FIELDS[[#This Row],[FIELD_STATUS_CODE]]=0),
DB_TBL_DATA_FIELDS[[#This Row],[FIELD_STATUS_CODE]],
"")
)</f>
        <v/>
      </c>
      <c r="Z21" s="1" t="s">
        <v>2953</v>
      </c>
    </row>
    <row r="22" spans="1:26" x14ac:dyDescent="0.2">
      <c r="A22" s="246" t="s">
        <v>2904</v>
      </c>
      <c r="B22" s="16" t="str">
        <f ca="1">IFERROR(IF(FIND(DATA_EFORM_TYPE_CODE,DB_TBL_DATA_FIELDS[[#This Row],[APPLICABLE_EFORM_LIST]])&gt;0,DATA_EFORM_TYPE_CODE,""),"")</f>
        <v/>
      </c>
      <c r="C22" s="247" t="s">
        <v>2375</v>
      </c>
      <c r="D22" s="1" t="b">
        <v>1</v>
      </c>
      <c r="E22" s="248" t="b">
        <v>0</v>
      </c>
      <c r="F22" s="2" t="s">
        <v>2376</v>
      </c>
      <c r="G22" s="249" t="str">
        <f ca="1">IFERROR(VLOOKUP(DB_TBL_DATA_FIELDS[[#This Row],[FIELD_ID]],INDIRECT(DB_TBL_DATA_FIELDS[[#This Row],[SHEET_REF_CALC]]&amp;"!A:B"),2,FALSE),"")</f>
        <v/>
      </c>
      <c r="H22" s="21" t="str">
        <f ca="1">IF(DB_TBL_DATA_FIELDS[[#This Row],[FIELD_EMPTY_FLAG]],"",DB_TBL_DATA_FIELDS[[#This Row],[FIELD_REQ_FLAG]])</f>
        <v/>
      </c>
      <c r="I22" s="2" t="b">
        <f ca="1">(DB_TBL_DATA_FIELDS[[#This Row],[FIELD_VALUE_RAW]]="")</f>
        <v>1</v>
      </c>
      <c r="J22" s="2" t="s">
        <v>39</v>
      </c>
      <c r="K22" s="1" t="b">
        <f ca="1">AND(IF(DB_TBL_DATA_FIELDS[[#This Row],[FIELD_VALID_CUSTOM_LOGIC]]="",TRUE,DB_TBL_DATA_FIELDS[[#This Row],[FIELD_VALID_CUSTOM_LOGIC]]),DB_TBL_DATA_FIELDS[[#This Row],[RANGE_VALIDATION_PASSED_FLAG]])</f>
        <v>0</v>
      </c>
      <c r="L22"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2" s="1" t="str">
        <f ca="1">IF(DB_TBL_DATA_FIELDS[[#This Row],[SHEET_REF_CALC]]="","",IF(DB_TBL_DATA_FIELDS[[#This Row],[FIELD_EMPTY_FLAG]],IF(NOT(DB_TBL_DATA_FIELDS[[#This Row],[FIELD_REQ_FLAG]]),-1,1),IF(NOT(DB_TBL_DATA_FIELDS[[#This Row],[FIELD_VALID_FLAG]]),0,2)))</f>
        <v/>
      </c>
      <c r="N22" s="1" t="str">
        <f ca="1">IFERROR(VLOOKUP(DB_TBL_DATA_FIELDS[[#This Row],[FIELD_STATUS_CODE]],DB_TBL_CONFIG_FIELDSTATUSCODES[#All],3,FALSE),"")</f>
        <v/>
      </c>
      <c r="O22" s="1" t="str">
        <f ca="1">IFERROR(VLOOKUP(DB_TBL_DATA_FIELDS[[#This Row],[FIELD_STATUS_CODE]],DB_TBL_CONFIG_FIELDSTATUSCODES[#All],4,FALSE),"")</f>
        <v/>
      </c>
      <c r="P22" s="1" t="b">
        <f>TRUE</f>
        <v>1</v>
      </c>
      <c r="Q22" s="1" t="b">
        <f>TRUE</f>
        <v>1</v>
      </c>
      <c r="R22" s="1" t="s">
        <v>39</v>
      </c>
      <c r="S22" s="1">
        <f ca="1">IF(DB_TBL_DATA_FIELDS[[#This Row],[RANGE_VALIDATION_FLAG]]="Text",LEN(DB_TBL_DATA_FIELDS[[#This Row],[FIELD_VALUE_RAW]]),IFERROR(VALUE(DB_TBL_DATA_FIELDS[[#This Row],[FIELD_VALUE_RAW]]),-1))</f>
        <v>-1</v>
      </c>
      <c r="T22" s="118">
        <f>CONFIG_MIN_HOUSEHOLD_ID_LEGACY</f>
        <v>45000</v>
      </c>
      <c r="U22" s="1">
        <v>99999</v>
      </c>
      <c r="V22" s="1" t="b">
        <f ca="1">IF(NOT(DB_TBL_DATA_FIELDS[[#This Row],[RANGE_VALIDATION_ON_FLAG]]),TRUE,
AND(DB_TBL_DATA_FIELDS[[#This Row],[RANGE_VALUE_LEN]]&gt;=DB_TBL_DATA_FIELDS[[#This Row],[RANGE_VALIDATION_MIN]],DB_TBL_DATA_FIELDS[[#This Row],[RANGE_VALUE_LEN]]&lt;=DB_TBL_DATA_FIELDS[[#This Row],[RANGE_VALIDATION_MAX]]))</f>
        <v>0</v>
      </c>
      <c r="W22" s="1">
        <v>1</v>
      </c>
      <c r="X22" s="1" t="str">
        <f ca="1">IF(DB_TBL_DATA_FIELDS[[#This Row],[PCT_CALC_SHOW_STATUS_CODE]]=1,
DB_TBL_DATA_FIELDS[[#This Row],[FIELD_STATUS_CODE]],
IF(AND(DB_TBL_DATA_FIELDS[[#This Row],[PCT_CALC_SHOW_STATUS_CODE]]=2,DB_TBL_DATA_FIELDS[[#This Row],[FIELD_STATUS_CODE]]=0),
DB_TBL_DATA_FIELDS[[#This Row],[FIELD_STATUS_CODE]],
"")
)</f>
        <v/>
      </c>
      <c r="Z22" s="1" t="s">
        <v>2953</v>
      </c>
    </row>
    <row r="23" spans="1:26" x14ac:dyDescent="0.2">
      <c r="A23" s="1" t="s">
        <v>2207</v>
      </c>
      <c r="B23" s="16" t="str">
        <f ca="1">IFERROR(IF(FIND(DATA_EFORM_TYPE_CODE,DB_TBL_DATA_FIELDS[[#This Row],[APPLICABLE_EFORM_LIST]])&gt;0,DATA_EFORM_TYPE_CODE,""),"")</f>
        <v>RES</v>
      </c>
      <c r="C23" s="1" t="s">
        <v>2262</v>
      </c>
      <c r="D23" s="1" t="b">
        <v>0</v>
      </c>
      <c r="E23" s="18" t="b">
        <v>1</v>
      </c>
      <c r="F23" s="2" t="s">
        <v>2285</v>
      </c>
      <c r="G23" s="2" t="str">
        <f ca="1">IFERROR(VLOOKUP(DB_TBL_DATA_FIELDS[[#This Row],[FIELD_ID]],INDIRECT(DB_TBL_DATA_FIELDS[[#This Row],[SHEET_REF_CALC]]&amp;"!A:B"),2,FALSE),"")</f>
        <v/>
      </c>
      <c r="I23" s="2" t="b">
        <f ca="1">(DB_TBL_DATA_FIELDS[[#This Row],[FIELD_VALUE_RAW]]="")</f>
        <v>1</v>
      </c>
      <c r="J23" s="2" t="s">
        <v>140</v>
      </c>
      <c r="K23" s="1" t="b">
        <f>AND(IF(DB_TBL_DATA_FIELDS[[#This Row],[FIELD_VALID_CUSTOM_LOGIC]]="",TRUE,DB_TBL_DATA_FIELDS[[#This Row],[FIELD_VALID_CUSTOM_LOGIC]]),DB_TBL_DATA_FIELDS[[#This Row],[RANGE_VALIDATION_PASSED_FLAG]])</f>
        <v>1</v>
      </c>
      <c r="L23"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3" s="1">
        <f ca="1">IF(DB_TBL_DATA_FIELDS[[#This Row],[SHEET_REF_CALC]]="","",IF(DB_TBL_DATA_FIELDS[[#This Row],[FIELD_EMPTY_FLAG]],IF(NOT(DB_TBL_DATA_FIELDS[[#This Row],[FIELD_REQ_FLAG]]),-1,1),IF(NOT(DB_TBL_DATA_FIELDS[[#This Row],[FIELD_VALID_FLAG]]),0,2)))</f>
        <v>1</v>
      </c>
      <c r="N23" s="1" t="str">
        <f ca="1">IFERROR(VLOOKUP(DB_TBL_DATA_FIELDS[[#This Row],[FIELD_STATUS_CODE]],DB_TBL_CONFIG_FIELDSTATUSCODES[#All],3,FALSE),"")</f>
        <v>Required</v>
      </c>
      <c r="O23" s="1" t="str">
        <f ca="1">IFERROR(VLOOKUP(DB_TBL_DATA_FIELDS[[#This Row],[FIELD_STATUS_CODE]],DB_TBL_CONFIG_FIELDSTATUSCODES[#All],4,FALSE),"")</f>
        <v>i</v>
      </c>
      <c r="P23" s="1" t="b">
        <f>TRUE</f>
        <v>1</v>
      </c>
      <c r="Q23" s="1" t="b">
        <v>0</v>
      </c>
      <c r="S23" s="1">
        <f ca="1">IF(DB_TBL_DATA_FIELDS[[#This Row],[RANGE_VALIDATION_FLAG]]="Text",LEN(DB_TBL_DATA_FIELDS[[#This Row],[FIELD_VALUE_RAW]]),IFERROR(VALUE(DB_TBL_DATA_FIELDS[[#This Row],[FIELD_VALUE_RAW]]),-1))</f>
        <v>-1</v>
      </c>
      <c r="V23" s="1" t="b">
        <f>IF(NOT(DB_TBL_DATA_FIELDS[[#This Row],[RANGE_VALIDATION_ON_FLAG]]),TRUE,
AND(DB_TBL_DATA_FIELDS[[#This Row],[RANGE_VALUE_LEN]]&gt;=DB_TBL_DATA_FIELDS[[#This Row],[RANGE_VALIDATION_MIN]],DB_TBL_DATA_FIELDS[[#This Row],[RANGE_VALUE_LEN]]&lt;=DB_TBL_DATA_FIELDS[[#This Row],[RANGE_VALIDATION_MAX]]))</f>
        <v>1</v>
      </c>
      <c r="W23" s="1">
        <v>1</v>
      </c>
      <c r="X23" s="1">
        <f ca="1">IF(DB_TBL_DATA_FIELDS[[#This Row],[PCT_CALC_SHOW_STATUS_CODE]]=1,
DB_TBL_DATA_FIELDS[[#This Row],[FIELD_STATUS_CODE]],
IF(AND(DB_TBL_DATA_FIELDS[[#This Row],[PCT_CALC_SHOW_STATUS_CODE]]=2,DB_TBL_DATA_FIELDS[[#This Row],[FIELD_STATUS_CODE]]=0),
DB_TBL_DATA_FIELDS[[#This Row],[FIELD_STATUS_CODE]],
"")
)</f>
        <v>1</v>
      </c>
    </row>
    <row r="24" spans="1:26" x14ac:dyDescent="0.2">
      <c r="A24" s="1" t="s">
        <v>2207</v>
      </c>
      <c r="B24" s="16" t="str">
        <f ca="1">IFERROR(IF(FIND(DATA_EFORM_TYPE_CODE,DB_TBL_DATA_FIELDS[[#This Row],[APPLICABLE_EFORM_LIST]])&gt;0,DATA_EFORM_TYPE_CODE,""),"")</f>
        <v>RES</v>
      </c>
      <c r="C24" s="1" t="s">
        <v>2263</v>
      </c>
      <c r="D24" s="1" t="b">
        <v>1</v>
      </c>
      <c r="E24" s="18" t="b">
        <v>0</v>
      </c>
      <c r="F24" s="2" t="s">
        <v>2286</v>
      </c>
      <c r="G24" s="2" t="str">
        <f ca="1">IFERROR(VLOOKUP(DB_TBL_DATA_FIELDS[[#This Row],[FIELD_ID]],INDIRECT(DB_TBL_DATA_FIELDS[[#This Row],[SHEET_REF_CALC]]&amp;"!A:B"),2,FALSE),"")</f>
        <v/>
      </c>
      <c r="I24" s="2" t="b">
        <f ca="1">(DB_TBL_DATA_FIELDS[[#This Row],[FIELD_VALUE_RAW]]="")</f>
        <v>1</v>
      </c>
      <c r="J24" s="2" t="s">
        <v>9</v>
      </c>
      <c r="K24" s="1" t="b">
        <f ca="1">AND(IF(DB_TBL_DATA_FIELDS[[#This Row],[FIELD_VALID_CUSTOM_LOGIC]]="",TRUE,DB_TBL_DATA_FIELDS[[#This Row],[FIELD_VALID_CUSTOM_LOGIC]]),DB_TBL_DATA_FIELDS[[#This Row],[RANGE_VALIDATION_PASSED_FLAG]])</f>
        <v>1</v>
      </c>
      <c r="L24"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4" s="1">
        <f ca="1">IF(DB_TBL_DATA_FIELDS[[#This Row],[SHEET_REF_CALC]]="","",IF(DB_TBL_DATA_FIELDS[[#This Row],[FIELD_EMPTY_FLAG]],IF(NOT(DB_TBL_DATA_FIELDS[[#This Row],[FIELD_REQ_FLAG]]),-1,1),IF(NOT(DB_TBL_DATA_FIELDS[[#This Row],[FIELD_VALID_FLAG]]),0,2)))</f>
        <v>-1</v>
      </c>
      <c r="N24" s="1" t="str">
        <f ca="1">IFERROR(VLOOKUP(DB_TBL_DATA_FIELDS[[#This Row],[FIELD_STATUS_CODE]],DB_TBL_CONFIG_FIELDSTATUSCODES[#All],3,FALSE),"")</f>
        <v>Optional</v>
      </c>
      <c r="O24" s="1" t="str">
        <f ca="1">IFERROR(VLOOKUP(DB_TBL_DATA_FIELDS[[#This Row],[FIELD_STATUS_CODE]],DB_TBL_CONFIG_FIELDSTATUSCODES[#All],4,FALSE),"")</f>
        <v xml:space="preserve"> </v>
      </c>
      <c r="P24" s="1" t="b">
        <f>TRUE</f>
        <v>1</v>
      </c>
      <c r="Q24" s="1" t="b">
        <f>TRUE</f>
        <v>1</v>
      </c>
      <c r="R24" s="1" t="s">
        <v>9</v>
      </c>
      <c r="S24" s="1">
        <f ca="1">IF(DB_TBL_DATA_FIELDS[[#This Row],[RANGE_VALIDATION_FLAG]]="Text",LEN(DB_TBL_DATA_FIELDS[[#This Row],[FIELD_VALUE_RAW]]),IFERROR(VALUE(DB_TBL_DATA_FIELDS[[#This Row],[FIELD_VALUE_RAW]]),-1))</f>
        <v>0</v>
      </c>
      <c r="T24" s="1">
        <v>0</v>
      </c>
      <c r="U24" s="1">
        <v>10</v>
      </c>
      <c r="V24" s="1" t="b">
        <f ca="1">IF(NOT(DB_TBL_DATA_FIELDS[[#This Row],[RANGE_VALIDATION_ON_FLAG]]),TRUE,
AND(DB_TBL_DATA_FIELDS[[#This Row],[RANGE_VALUE_LEN]]&gt;=DB_TBL_DATA_FIELDS[[#This Row],[RANGE_VALIDATION_MIN]],DB_TBL_DATA_FIELDS[[#This Row],[RANGE_VALUE_LEN]]&lt;=DB_TBL_DATA_FIELDS[[#This Row],[RANGE_VALIDATION_MAX]]))</f>
        <v>1</v>
      </c>
      <c r="W24" s="1">
        <v>1</v>
      </c>
      <c r="X24" s="1">
        <f ca="1">IF(DB_TBL_DATA_FIELDS[[#This Row],[PCT_CALC_SHOW_STATUS_CODE]]=1,
DB_TBL_DATA_FIELDS[[#This Row],[FIELD_STATUS_CODE]],
IF(AND(DB_TBL_DATA_FIELDS[[#This Row],[PCT_CALC_SHOW_STATUS_CODE]]=2,DB_TBL_DATA_FIELDS[[#This Row],[FIELD_STATUS_CODE]]=0),
DB_TBL_DATA_FIELDS[[#This Row],[FIELD_STATUS_CODE]],
"")
)</f>
        <v>-1</v>
      </c>
    </row>
    <row r="25" spans="1:26" x14ac:dyDescent="0.2">
      <c r="A25" s="1" t="s">
        <v>2245</v>
      </c>
      <c r="B25" s="16" t="str">
        <f ca="1">IFERROR(IF(FIND(DATA_EFORM_TYPE_CODE,DB_TBL_DATA_FIELDS[[#This Row],[APPLICABLE_EFORM_LIST]])&gt;0,DATA_EFORM_TYPE_CODE,""),"")</f>
        <v>RES</v>
      </c>
      <c r="C25" s="1" t="s">
        <v>2264</v>
      </c>
      <c r="D25" s="1" t="b">
        <v>1</v>
      </c>
      <c r="E25" s="18" t="b">
        <v>1</v>
      </c>
      <c r="F25" s="2" t="s">
        <v>2287</v>
      </c>
      <c r="G25" s="2" t="str">
        <f ca="1">IFERROR(VLOOKUP(DB_TBL_DATA_FIELDS[[#This Row],[FIELD_ID]],INDIRECT(DB_TBL_DATA_FIELDS[[#This Row],[SHEET_REF_CALC]]&amp;"!A:B"),2,FALSE),"")</f>
        <v/>
      </c>
      <c r="I25" s="2" t="b">
        <f ca="1">(DB_TBL_DATA_FIELDS[[#This Row],[FIELD_VALUE_RAW]]="")</f>
        <v>1</v>
      </c>
      <c r="J25" s="2" t="s">
        <v>9</v>
      </c>
      <c r="K25" s="1" t="b">
        <f ca="1">AND(IF(DB_TBL_DATA_FIELDS[[#This Row],[FIELD_VALID_CUSTOM_LOGIC]]="",TRUE,DB_TBL_DATA_FIELDS[[#This Row],[FIELD_VALID_CUSTOM_LOGIC]]),DB_TBL_DATA_FIELDS[[#This Row],[RANGE_VALIDATION_PASSED_FLAG]])</f>
        <v>1</v>
      </c>
      <c r="L25"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5" s="1">
        <f ca="1">IF(DB_TBL_DATA_FIELDS[[#This Row],[SHEET_REF_CALC]]="","",IF(DB_TBL_DATA_FIELDS[[#This Row],[FIELD_EMPTY_FLAG]],IF(NOT(DB_TBL_DATA_FIELDS[[#This Row],[FIELD_REQ_FLAG]]),-1,1),IF(NOT(DB_TBL_DATA_FIELDS[[#This Row],[FIELD_VALID_FLAG]]),0,2)))</f>
        <v>1</v>
      </c>
      <c r="N25" s="1" t="str">
        <f ca="1">IFERROR(VLOOKUP(DB_TBL_DATA_FIELDS[[#This Row],[FIELD_STATUS_CODE]],DB_TBL_CONFIG_FIELDSTATUSCODES[#All],3,FALSE),"")</f>
        <v>Required</v>
      </c>
      <c r="O25" s="1" t="str">
        <f ca="1">IFERROR(VLOOKUP(DB_TBL_DATA_FIELDS[[#This Row],[FIELD_STATUS_CODE]],DB_TBL_CONFIG_FIELDSTATUSCODES[#All],4,FALSE),"")</f>
        <v>i</v>
      </c>
      <c r="P25" s="1" t="b">
        <f>TRUE</f>
        <v>1</v>
      </c>
      <c r="Q25" s="1" t="b">
        <f>TRUE</f>
        <v>1</v>
      </c>
      <c r="R25" s="1" t="s">
        <v>9</v>
      </c>
      <c r="S25" s="1">
        <f ca="1">IF(DB_TBL_DATA_FIELDS[[#This Row],[RANGE_VALIDATION_FLAG]]="Text",LEN(DB_TBL_DATA_FIELDS[[#This Row],[FIELD_VALUE_RAW]]),IFERROR(VALUE(DB_TBL_DATA_FIELDS[[#This Row],[FIELD_VALUE_RAW]]),-1))</f>
        <v>0</v>
      </c>
      <c r="T25" s="1">
        <v>0</v>
      </c>
      <c r="U25" s="1">
        <v>30</v>
      </c>
      <c r="V25" s="1" t="b">
        <f ca="1">IF(NOT(DB_TBL_DATA_FIELDS[[#This Row],[RANGE_VALIDATION_ON_FLAG]]),TRUE,
AND(DB_TBL_DATA_FIELDS[[#This Row],[RANGE_VALUE_LEN]]&gt;=DB_TBL_DATA_FIELDS[[#This Row],[RANGE_VALIDATION_MIN]],DB_TBL_DATA_FIELDS[[#This Row],[RANGE_VALUE_LEN]]&lt;=DB_TBL_DATA_FIELDS[[#This Row],[RANGE_VALIDATION_MAX]]))</f>
        <v>1</v>
      </c>
      <c r="W25" s="1">
        <v>1</v>
      </c>
      <c r="X25" s="1">
        <f ca="1">IF(DB_TBL_DATA_FIELDS[[#This Row],[PCT_CALC_SHOW_STATUS_CODE]]=1,
DB_TBL_DATA_FIELDS[[#This Row],[FIELD_STATUS_CODE]],
IF(AND(DB_TBL_DATA_FIELDS[[#This Row],[PCT_CALC_SHOW_STATUS_CODE]]=2,DB_TBL_DATA_FIELDS[[#This Row],[FIELD_STATUS_CODE]]=0),
DB_TBL_DATA_FIELDS[[#This Row],[FIELD_STATUS_CODE]],
"")
)</f>
        <v>1</v>
      </c>
    </row>
    <row r="26" spans="1:26" x14ac:dyDescent="0.2">
      <c r="A26" s="1" t="s">
        <v>2245</v>
      </c>
      <c r="B26" s="16" t="str">
        <f ca="1">IFERROR(IF(FIND(DATA_EFORM_TYPE_CODE,DB_TBL_DATA_FIELDS[[#This Row],[APPLICABLE_EFORM_LIST]])&gt;0,DATA_EFORM_TYPE_CODE,""),"")</f>
        <v>RES</v>
      </c>
      <c r="C26" s="1" t="s">
        <v>2265</v>
      </c>
      <c r="D26" s="1" t="b">
        <v>1</v>
      </c>
      <c r="E26" s="18" t="b">
        <v>1</v>
      </c>
      <c r="F26" s="2" t="s">
        <v>2288</v>
      </c>
      <c r="G26" s="2" t="str">
        <f ca="1">IFERROR(VLOOKUP(DB_TBL_DATA_FIELDS[[#This Row],[FIELD_ID]],INDIRECT(DB_TBL_DATA_FIELDS[[#This Row],[SHEET_REF_CALC]]&amp;"!A:B"),2,FALSE),"")</f>
        <v/>
      </c>
      <c r="I26" s="2" t="b">
        <f ca="1">(DB_TBL_DATA_FIELDS[[#This Row],[FIELD_VALUE_RAW]]="")</f>
        <v>1</v>
      </c>
      <c r="J26" s="2" t="s">
        <v>9</v>
      </c>
      <c r="K26" s="1" t="b">
        <f ca="1">AND(IF(DB_TBL_DATA_FIELDS[[#This Row],[FIELD_VALID_CUSTOM_LOGIC]]="",TRUE,DB_TBL_DATA_FIELDS[[#This Row],[FIELD_VALID_CUSTOM_LOGIC]]),DB_TBL_DATA_FIELDS[[#This Row],[RANGE_VALIDATION_PASSED_FLAG]])</f>
        <v>1</v>
      </c>
      <c r="L26"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6" s="1">
        <f ca="1">IF(DB_TBL_DATA_FIELDS[[#This Row],[SHEET_REF_CALC]]="","",IF(DB_TBL_DATA_FIELDS[[#This Row],[FIELD_EMPTY_FLAG]],IF(NOT(DB_TBL_DATA_FIELDS[[#This Row],[FIELD_REQ_FLAG]]),-1,1),IF(NOT(DB_TBL_DATA_FIELDS[[#This Row],[FIELD_VALID_FLAG]]),0,2)))</f>
        <v>1</v>
      </c>
      <c r="N26" s="1" t="str">
        <f ca="1">IFERROR(VLOOKUP(DB_TBL_DATA_FIELDS[[#This Row],[FIELD_STATUS_CODE]],DB_TBL_CONFIG_FIELDSTATUSCODES[#All],3,FALSE),"")</f>
        <v>Required</v>
      </c>
      <c r="O26" s="1" t="str">
        <f ca="1">IFERROR(VLOOKUP(DB_TBL_DATA_FIELDS[[#This Row],[FIELD_STATUS_CODE]],DB_TBL_CONFIG_FIELDSTATUSCODES[#All],4,FALSE),"")</f>
        <v>i</v>
      </c>
      <c r="P26" s="1" t="b">
        <f>TRUE</f>
        <v>1</v>
      </c>
      <c r="Q26" s="1" t="b">
        <f>TRUE</f>
        <v>1</v>
      </c>
      <c r="R26" s="1" t="s">
        <v>9</v>
      </c>
      <c r="S26" s="1">
        <f ca="1">IF(DB_TBL_DATA_FIELDS[[#This Row],[RANGE_VALIDATION_FLAG]]="Text",LEN(DB_TBL_DATA_FIELDS[[#This Row],[FIELD_VALUE_RAW]]),IFERROR(VALUE(DB_TBL_DATA_FIELDS[[#This Row],[FIELD_VALUE_RAW]]),-1))</f>
        <v>0</v>
      </c>
      <c r="T26" s="1">
        <v>0</v>
      </c>
      <c r="U26" s="1">
        <v>30</v>
      </c>
      <c r="V26" s="1" t="b">
        <f ca="1">IF(NOT(DB_TBL_DATA_FIELDS[[#This Row],[RANGE_VALIDATION_ON_FLAG]]),TRUE,
AND(DB_TBL_DATA_FIELDS[[#This Row],[RANGE_VALUE_LEN]]&gt;=DB_TBL_DATA_FIELDS[[#This Row],[RANGE_VALIDATION_MIN]],DB_TBL_DATA_FIELDS[[#This Row],[RANGE_VALUE_LEN]]&lt;=DB_TBL_DATA_FIELDS[[#This Row],[RANGE_VALIDATION_MAX]]))</f>
        <v>1</v>
      </c>
      <c r="W26" s="1">
        <v>1</v>
      </c>
      <c r="X26" s="1">
        <f ca="1">IF(DB_TBL_DATA_FIELDS[[#This Row],[PCT_CALC_SHOW_STATUS_CODE]]=1,
DB_TBL_DATA_FIELDS[[#This Row],[FIELD_STATUS_CODE]],
IF(AND(DB_TBL_DATA_FIELDS[[#This Row],[PCT_CALC_SHOW_STATUS_CODE]]=2,DB_TBL_DATA_FIELDS[[#This Row],[FIELD_STATUS_CODE]]=0),
DB_TBL_DATA_FIELDS[[#This Row],[FIELD_STATUS_CODE]],
"")
)</f>
        <v>1</v>
      </c>
    </row>
    <row r="27" spans="1:26" x14ac:dyDescent="0.2">
      <c r="A27" s="1" t="s">
        <v>2245</v>
      </c>
      <c r="B27" s="16" t="str">
        <f ca="1">IFERROR(IF(FIND(DATA_EFORM_TYPE_CODE,DB_TBL_DATA_FIELDS[[#This Row],[APPLICABLE_EFORM_LIST]])&gt;0,DATA_EFORM_TYPE_CODE,""),"")</f>
        <v>RES</v>
      </c>
      <c r="C27" s="1" t="s">
        <v>2381</v>
      </c>
      <c r="D27" s="1" t="b">
        <v>0</v>
      </c>
      <c r="E27" s="18" t="b">
        <v>0</v>
      </c>
      <c r="F27" s="2" t="s">
        <v>2382</v>
      </c>
      <c r="G27" s="21" t="str">
        <f ca="1">IF(AND(G25&lt;&gt;"",G26&lt;&gt;""),TRIM(G26&amp;", "&amp;G25),"")</f>
        <v/>
      </c>
      <c r="I27" s="2" t="b">
        <f ca="1">(DB_TBL_DATA_FIELDS[[#This Row],[FIELD_VALUE_RAW]]="")</f>
        <v>1</v>
      </c>
      <c r="J27" s="2" t="s">
        <v>9</v>
      </c>
      <c r="K27" s="1" t="b">
        <f>AND(IF(DB_TBL_DATA_FIELDS[[#This Row],[FIELD_VALID_CUSTOM_LOGIC]]="",TRUE,DB_TBL_DATA_FIELDS[[#This Row],[FIELD_VALID_CUSTOM_LOGIC]]),DB_TBL_DATA_FIELDS[[#This Row],[RANGE_VALIDATION_PASSED_FLAG]])</f>
        <v>1</v>
      </c>
      <c r="L2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7" s="1">
        <f ca="1">IF(DB_TBL_DATA_FIELDS[[#This Row],[SHEET_REF_CALC]]="","",IF(DB_TBL_DATA_FIELDS[[#This Row],[FIELD_EMPTY_FLAG]],IF(NOT(DB_TBL_DATA_FIELDS[[#This Row],[FIELD_REQ_FLAG]]),-1,1),IF(NOT(DB_TBL_DATA_FIELDS[[#This Row],[FIELD_VALID_FLAG]]),0,2)))</f>
        <v>-1</v>
      </c>
      <c r="N27" s="1" t="str">
        <f ca="1">IFERROR(VLOOKUP(DB_TBL_DATA_FIELDS[[#This Row],[FIELD_STATUS_CODE]],DB_TBL_CONFIG_FIELDSTATUSCODES[#All],3,FALSE),"")</f>
        <v>Optional</v>
      </c>
      <c r="O27" s="1" t="str">
        <f ca="1">IFERROR(VLOOKUP(DB_TBL_DATA_FIELDS[[#This Row],[FIELD_STATUS_CODE]],DB_TBL_CONFIG_FIELDSTATUSCODES[#All],4,FALSE),"")</f>
        <v xml:space="preserve"> </v>
      </c>
      <c r="P27" s="1" t="b">
        <f>TRUE</f>
        <v>1</v>
      </c>
      <c r="Q27" s="1" t="b">
        <v>0</v>
      </c>
      <c r="R27" s="1" t="s">
        <v>9</v>
      </c>
      <c r="S27" s="1">
        <f ca="1">IF(DB_TBL_DATA_FIELDS[[#This Row],[RANGE_VALIDATION_FLAG]]="Text",LEN(DB_TBL_DATA_FIELDS[[#This Row],[FIELD_VALUE_RAW]]),IFERROR(VALUE(DB_TBL_DATA_FIELDS[[#This Row],[FIELD_VALUE_RAW]]),-1))</f>
        <v>0</v>
      </c>
      <c r="V27" s="1" t="b">
        <f>IF(NOT(DB_TBL_DATA_FIELDS[[#This Row],[RANGE_VALIDATION_ON_FLAG]]),TRUE,
AND(DB_TBL_DATA_FIELDS[[#This Row],[RANGE_VALUE_LEN]]&gt;=DB_TBL_DATA_FIELDS[[#This Row],[RANGE_VALIDATION_MIN]],DB_TBL_DATA_FIELDS[[#This Row],[RANGE_VALUE_LEN]]&lt;=DB_TBL_DATA_FIELDS[[#This Row],[RANGE_VALIDATION_MAX]]))</f>
        <v>1</v>
      </c>
      <c r="W27" s="1">
        <v>0</v>
      </c>
      <c r="X27" s="1" t="str">
        <f ca="1">IF(DB_TBL_DATA_FIELDS[[#This Row],[PCT_CALC_SHOW_STATUS_CODE]]=1,
DB_TBL_DATA_FIELDS[[#This Row],[FIELD_STATUS_CODE]],
IF(AND(DB_TBL_DATA_FIELDS[[#This Row],[PCT_CALC_SHOW_STATUS_CODE]]=2,DB_TBL_DATA_FIELDS[[#This Row],[FIELD_STATUS_CODE]]=0),
DB_TBL_DATA_FIELDS[[#This Row],[FIELD_STATUS_CODE]],
"")
)</f>
        <v/>
      </c>
    </row>
    <row r="28" spans="1:26" x14ac:dyDescent="0.2">
      <c r="A28" s="1" t="s">
        <v>2207</v>
      </c>
      <c r="B28" s="16" t="str">
        <f ca="1">IFERROR(IF(FIND(DATA_EFORM_TYPE_CODE,DB_TBL_DATA_FIELDS[[#This Row],[APPLICABLE_EFORM_LIST]])&gt;0,DATA_EFORM_TYPE_CODE,""),"")</f>
        <v>RES</v>
      </c>
      <c r="C28" s="1" t="s">
        <v>2266</v>
      </c>
      <c r="D28" s="1" t="b">
        <v>1</v>
      </c>
      <c r="E28" s="18" t="b">
        <v>1</v>
      </c>
      <c r="F28" s="2" t="s">
        <v>2302</v>
      </c>
      <c r="G28" s="2" t="str">
        <f ca="1">IFERROR(VLOOKUP(DB_TBL_DATA_FIELDS[[#This Row],[FIELD_ID]],INDIRECT(DB_TBL_DATA_FIELDS[[#This Row],[SHEET_REF_CALC]]&amp;"!A:B"),2,FALSE),"")</f>
        <v/>
      </c>
      <c r="I28" s="2" t="b">
        <f ca="1">(DB_TBL_DATA_FIELDS[[#This Row],[FIELD_VALUE_RAW]]="")</f>
        <v>1</v>
      </c>
      <c r="J28" s="2" t="s">
        <v>9</v>
      </c>
      <c r="K28" s="1" t="b">
        <f ca="1">AND(IF(DB_TBL_DATA_FIELDS[[#This Row],[FIELD_VALID_CUSTOM_LOGIC]]="",TRUE,DB_TBL_DATA_FIELDS[[#This Row],[FIELD_VALID_CUSTOM_LOGIC]]),DB_TBL_DATA_FIELDS[[#This Row],[RANGE_VALIDATION_PASSED_FLAG]])</f>
        <v>1</v>
      </c>
      <c r="L28"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8" s="1">
        <f ca="1">IF(DB_TBL_DATA_FIELDS[[#This Row],[SHEET_REF_CALC]]="","",IF(DB_TBL_DATA_FIELDS[[#This Row],[FIELD_EMPTY_FLAG]],IF(NOT(DB_TBL_DATA_FIELDS[[#This Row],[FIELD_REQ_FLAG]]),-1,1),IF(NOT(DB_TBL_DATA_FIELDS[[#This Row],[FIELD_VALID_FLAG]]),0,2)))</f>
        <v>1</v>
      </c>
      <c r="N28" s="1" t="str">
        <f ca="1">IFERROR(VLOOKUP(DB_TBL_DATA_FIELDS[[#This Row],[FIELD_STATUS_CODE]],DB_TBL_CONFIG_FIELDSTATUSCODES[#All],3,FALSE),"")</f>
        <v>Required</v>
      </c>
      <c r="O28" s="1" t="str">
        <f ca="1">IFERROR(VLOOKUP(DB_TBL_DATA_FIELDS[[#This Row],[FIELD_STATUS_CODE]],DB_TBL_CONFIG_FIELDSTATUSCODES[#All],4,FALSE),"")</f>
        <v>i</v>
      </c>
      <c r="P28" s="1" t="b">
        <f>TRUE</f>
        <v>1</v>
      </c>
      <c r="Q28" s="1" t="b">
        <f>TRUE</f>
        <v>1</v>
      </c>
      <c r="R28" s="1" t="s">
        <v>9</v>
      </c>
      <c r="S28" s="1">
        <f ca="1">IF(DB_TBL_DATA_FIELDS[[#This Row],[RANGE_VALIDATION_FLAG]]="Text",LEN(DB_TBL_DATA_FIELDS[[#This Row],[FIELD_VALUE_RAW]]),IFERROR(VALUE(DB_TBL_DATA_FIELDS[[#This Row],[FIELD_VALUE_RAW]]),-1))</f>
        <v>0</v>
      </c>
      <c r="T28" s="1">
        <v>0</v>
      </c>
      <c r="U28" s="1">
        <v>25</v>
      </c>
      <c r="V28" s="1" t="b">
        <f ca="1">IF(NOT(DB_TBL_DATA_FIELDS[[#This Row],[RANGE_VALIDATION_ON_FLAG]]),TRUE,
AND(DB_TBL_DATA_FIELDS[[#This Row],[RANGE_VALUE_LEN]]&gt;=DB_TBL_DATA_FIELDS[[#This Row],[RANGE_VALIDATION_MIN]],DB_TBL_DATA_FIELDS[[#This Row],[RANGE_VALUE_LEN]]&lt;=DB_TBL_DATA_FIELDS[[#This Row],[RANGE_VALIDATION_MAX]]))</f>
        <v>1</v>
      </c>
      <c r="W28" s="1">
        <v>1</v>
      </c>
      <c r="X28" s="1">
        <f ca="1">IF(DB_TBL_DATA_FIELDS[[#This Row],[PCT_CALC_SHOW_STATUS_CODE]]=1,
DB_TBL_DATA_FIELDS[[#This Row],[FIELD_STATUS_CODE]],
IF(AND(DB_TBL_DATA_FIELDS[[#This Row],[PCT_CALC_SHOW_STATUS_CODE]]=2,DB_TBL_DATA_FIELDS[[#This Row],[FIELD_STATUS_CODE]]=0),
DB_TBL_DATA_FIELDS[[#This Row],[FIELD_STATUS_CODE]],
"")
)</f>
        <v>1</v>
      </c>
    </row>
    <row r="29" spans="1:26" x14ac:dyDescent="0.2">
      <c r="A29" s="246" t="s">
        <v>2904</v>
      </c>
      <c r="B29" s="16" t="str">
        <f ca="1">IFERROR(IF(FIND(DATA_EFORM_TYPE_CODE,DB_TBL_DATA_FIELDS[[#This Row],[APPLICABLE_EFORM_LIST]])&gt;0,DATA_EFORM_TYPE_CODE,""),"")</f>
        <v/>
      </c>
      <c r="C29" s="247" t="s">
        <v>2267</v>
      </c>
      <c r="D29" s="1" t="b">
        <v>1</v>
      </c>
      <c r="E29" s="248" t="b">
        <v>0</v>
      </c>
      <c r="F29" s="2" t="s">
        <v>2303</v>
      </c>
      <c r="G29" s="249" t="str">
        <f ca="1">IFERROR(VLOOKUP(DB_TBL_DATA_FIELDS[[#This Row],[FIELD_ID]],INDIRECT(DB_TBL_DATA_FIELDS[[#This Row],[SHEET_REF_CALC]]&amp;"!A:B"),2,FALSE),"")</f>
        <v/>
      </c>
      <c r="I29" s="2" t="b">
        <f ca="1">(DB_TBL_DATA_FIELDS[[#This Row],[FIELD_VALUE_RAW]]="")</f>
        <v>1</v>
      </c>
      <c r="J29" s="2" t="s">
        <v>140</v>
      </c>
      <c r="K29" s="1" t="b">
        <f>AND(IF(DB_TBL_DATA_FIELDS[[#This Row],[FIELD_VALID_CUSTOM_LOGIC]]="",TRUE,DB_TBL_DATA_FIELDS[[#This Row],[FIELD_VALID_CUSTOM_LOGIC]]),DB_TBL_DATA_FIELDS[[#This Row],[RANGE_VALIDATION_PASSED_FLAG]])</f>
        <v>1</v>
      </c>
      <c r="L29"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9" s="1" t="str">
        <f ca="1">IF(DB_TBL_DATA_FIELDS[[#This Row],[SHEET_REF_CALC]]="","",IF(DB_TBL_DATA_FIELDS[[#This Row],[FIELD_EMPTY_FLAG]],IF(NOT(DB_TBL_DATA_FIELDS[[#This Row],[FIELD_REQ_FLAG]]),-1,1),IF(NOT(DB_TBL_DATA_FIELDS[[#This Row],[FIELD_VALID_FLAG]]),0,2)))</f>
        <v/>
      </c>
      <c r="N29" s="1" t="str">
        <f ca="1">IFERROR(VLOOKUP(DB_TBL_DATA_FIELDS[[#This Row],[FIELD_STATUS_CODE]],DB_TBL_CONFIG_FIELDSTATUSCODES[#All],3,FALSE),"")</f>
        <v/>
      </c>
      <c r="O29" s="1" t="str">
        <f ca="1">IFERROR(VLOOKUP(DB_TBL_DATA_FIELDS[[#This Row],[FIELD_STATUS_CODE]],DB_TBL_CONFIG_FIELDSTATUSCODES[#All],4,FALSE),"")</f>
        <v/>
      </c>
      <c r="P29" s="1" t="b">
        <f>TRUE</f>
        <v>1</v>
      </c>
      <c r="Q29" s="1" t="b">
        <v>0</v>
      </c>
      <c r="S29" s="1">
        <f ca="1">IF(DB_TBL_DATA_FIELDS[[#This Row],[RANGE_VALIDATION_FLAG]]="Text",LEN(DB_TBL_DATA_FIELDS[[#This Row],[FIELD_VALUE_RAW]]),IFERROR(VALUE(DB_TBL_DATA_FIELDS[[#This Row],[FIELD_VALUE_RAW]]),-1))</f>
        <v>-1</v>
      </c>
      <c r="V29" s="1" t="b">
        <f>IF(NOT(DB_TBL_DATA_FIELDS[[#This Row],[RANGE_VALIDATION_ON_FLAG]]),TRUE,
AND(DB_TBL_DATA_FIELDS[[#This Row],[RANGE_VALUE_LEN]]&gt;=DB_TBL_DATA_FIELDS[[#This Row],[RANGE_VALIDATION_MIN]],DB_TBL_DATA_FIELDS[[#This Row],[RANGE_VALUE_LEN]]&lt;=DB_TBL_DATA_FIELDS[[#This Row],[RANGE_VALIDATION_MAX]]))</f>
        <v>1</v>
      </c>
      <c r="W29" s="1">
        <v>1</v>
      </c>
      <c r="X29" s="1" t="str">
        <f ca="1">IF(DB_TBL_DATA_FIELDS[[#This Row],[PCT_CALC_SHOW_STATUS_CODE]]=1,
DB_TBL_DATA_FIELDS[[#This Row],[FIELD_STATUS_CODE]],
IF(AND(DB_TBL_DATA_FIELDS[[#This Row],[PCT_CALC_SHOW_STATUS_CODE]]=2,DB_TBL_DATA_FIELDS[[#This Row],[FIELD_STATUS_CODE]]=0),
DB_TBL_DATA_FIELDS[[#This Row],[FIELD_STATUS_CODE]],
"")
)</f>
        <v/>
      </c>
    </row>
    <row r="30" spans="1:26" x14ac:dyDescent="0.2">
      <c r="A30" s="1" t="s">
        <v>2207</v>
      </c>
      <c r="B30" s="16" t="str">
        <f ca="1">IFERROR(IF(FIND(DATA_EFORM_TYPE_CODE,DB_TBL_DATA_FIELDS[[#This Row],[APPLICABLE_EFORM_LIST]])&gt;0,DATA_EFORM_TYPE_CODE,""),"")</f>
        <v>RES</v>
      </c>
      <c r="C30" s="1" t="s">
        <v>2268</v>
      </c>
      <c r="D30" s="1" t="b">
        <v>1</v>
      </c>
      <c r="E30" s="18" t="b">
        <v>0</v>
      </c>
      <c r="F30" s="2" t="s">
        <v>2289</v>
      </c>
      <c r="G30" s="2" t="str">
        <f ca="1">IFERROR(VLOOKUP(DB_TBL_DATA_FIELDS[[#This Row],[FIELD_ID]],INDIRECT(DB_TBL_DATA_FIELDS[[#This Row],[SHEET_REF_CALC]]&amp;"!A:B"),2,FALSE),"")</f>
        <v/>
      </c>
      <c r="I30" s="2" t="b">
        <f ca="1">(DB_TBL_DATA_FIELDS[[#This Row],[FIELD_VALUE_RAW]]="")</f>
        <v>1</v>
      </c>
      <c r="J30" s="2" t="s">
        <v>9</v>
      </c>
      <c r="K30" s="1" t="b">
        <f ca="1">AND(IF(DB_TBL_DATA_FIELDS[[#This Row],[FIELD_VALID_CUSTOM_LOGIC]]="",TRUE,DB_TBL_DATA_FIELDS[[#This Row],[FIELD_VALID_CUSTOM_LOGIC]]),DB_TBL_DATA_FIELDS[[#This Row],[RANGE_VALIDATION_PASSED_FLAG]])</f>
        <v>1</v>
      </c>
      <c r="L30"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0" s="1">
        <f ca="1">IF(DB_TBL_DATA_FIELDS[[#This Row],[SHEET_REF_CALC]]="","",IF(DB_TBL_DATA_FIELDS[[#This Row],[FIELD_EMPTY_FLAG]],IF(NOT(DB_TBL_DATA_FIELDS[[#This Row],[FIELD_REQ_FLAG]]),-1,1),IF(NOT(DB_TBL_DATA_FIELDS[[#This Row],[FIELD_VALID_FLAG]]),0,2)))</f>
        <v>-1</v>
      </c>
      <c r="N30" s="1" t="str">
        <f ca="1">IFERROR(VLOOKUP(DB_TBL_DATA_FIELDS[[#This Row],[FIELD_STATUS_CODE]],DB_TBL_CONFIG_FIELDSTATUSCODES[#All],3,FALSE),"")</f>
        <v>Optional</v>
      </c>
      <c r="O30" s="1" t="str">
        <f ca="1">IFERROR(VLOOKUP(DB_TBL_DATA_FIELDS[[#This Row],[FIELD_STATUS_CODE]],DB_TBL_CONFIG_FIELDSTATUSCODES[#All],4,FALSE),"")</f>
        <v xml:space="preserve"> </v>
      </c>
      <c r="P30" s="1" t="b">
        <f>TRUE</f>
        <v>1</v>
      </c>
      <c r="Q30" s="1" t="b">
        <f>TRUE</f>
        <v>1</v>
      </c>
      <c r="R30" s="1" t="s">
        <v>9</v>
      </c>
      <c r="S30" s="1">
        <f ca="1">IF(DB_TBL_DATA_FIELDS[[#This Row],[RANGE_VALIDATION_FLAG]]="Text",LEN(DB_TBL_DATA_FIELDS[[#This Row],[FIELD_VALUE_RAW]]),IFERROR(VALUE(DB_TBL_DATA_FIELDS[[#This Row],[FIELD_VALUE_RAW]]),-1))</f>
        <v>0</v>
      </c>
      <c r="T30" s="1">
        <v>0</v>
      </c>
      <c r="U30" s="1">
        <v>10</v>
      </c>
      <c r="V30" s="1" t="b">
        <f ca="1">IF(NOT(DB_TBL_DATA_FIELDS[[#This Row],[RANGE_VALIDATION_ON_FLAG]]),TRUE,
AND(DB_TBL_DATA_FIELDS[[#This Row],[RANGE_VALUE_LEN]]&gt;=DB_TBL_DATA_FIELDS[[#This Row],[RANGE_VALIDATION_MIN]],DB_TBL_DATA_FIELDS[[#This Row],[RANGE_VALUE_LEN]]&lt;=DB_TBL_DATA_FIELDS[[#This Row],[RANGE_VALIDATION_MAX]]))</f>
        <v>1</v>
      </c>
      <c r="W30" s="1">
        <v>1</v>
      </c>
      <c r="X30" s="1">
        <f ca="1">IF(DB_TBL_DATA_FIELDS[[#This Row],[PCT_CALC_SHOW_STATUS_CODE]]=1,
DB_TBL_DATA_FIELDS[[#This Row],[FIELD_STATUS_CODE]],
IF(AND(DB_TBL_DATA_FIELDS[[#This Row],[PCT_CALC_SHOW_STATUS_CODE]]=2,DB_TBL_DATA_FIELDS[[#This Row],[FIELD_STATUS_CODE]]=0),
DB_TBL_DATA_FIELDS[[#This Row],[FIELD_STATUS_CODE]],
"")
)</f>
        <v>-1</v>
      </c>
    </row>
    <row r="31" spans="1:26" x14ac:dyDescent="0.2">
      <c r="A31" s="1" t="s">
        <v>2207</v>
      </c>
      <c r="B31" s="16" t="str">
        <f ca="1">IFERROR(IF(FIND(DATA_EFORM_TYPE_CODE,DB_TBL_DATA_FIELDS[[#This Row],[APPLICABLE_EFORM_LIST]])&gt;0,DATA_EFORM_TYPE_CODE,""),"")</f>
        <v>RES</v>
      </c>
      <c r="C31" s="1" t="s">
        <v>2269</v>
      </c>
      <c r="D31" s="1" t="b">
        <v>1</v>
      </c>
      <c r="E31" s="84" t="b">
        <f ca="1">OR(DATA_CO_BORW_STARTED_FLAG,DATA_THRD_BORW_STARTED_FLAG)</f>
        <v>0</v>
      </c>
      <c r="F31" s="2" t="s">
        <v>2290</v>
      </c>
      <c r="G31" s="2" t="str">
        <f ca="1">IFERROR(VLOOKUP(DB_TBL_DATA_FIELDS[[#This Row],[FIELD_ID]],INDIRECT(DB_TBL_DATA_FIELDS[[#This Row],[SHEET_REF_CALC]]&amp;"!A:B"),2,FALSE),"")</f>
        <v/>
      </c>
      <c r="I31" s="2" t="b">
        <f ca="1">(DB_TBL_DATA_FIELDS[[#This Row],[FIELD_VALUE_RAW]]="")</f>
        <v>1</v>
      </c>
      <c r="J31" s="2" t="s">
        <v>9</v>
      </c>
      <c r="K31" s="1" t="b">
        <f ca="1">AND(IF(DB_TBL_DATA_FIELDS[[#This Row],[FIELD_VALID_CUSTOM_LOGIC]]="",TRUE,DB_TBL_DATA_FIELDS[[#This Row],[FIELD_VALID_CUSTOM_LOGIC]]),DB_TBL_DATA_FIELDS[[#This Row],[RANGE_VALIDATION_PASSED_FLAG]])</f>
        <v>1</v>
      </c>
      <c r="L31"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1" s="1">
        <f ca="1">IF(DB_TBL_DATA_FIELDS[[#This Row],[SHEET_REF_CALC]]="","",IF(DB_TBL_DATA_FIELDS[[#This Row],[FIELD_EMPTY_FLAG]],IF(NOT(DB_TBL_DATA_FIELDS[[#This Row],[FIELD_REQ_FLAG]]),-1,1),IF(NOT(DB_TBL_DATA_FIELDS[[#This Row],[FIELD_VALID_FLAG]]),0,2)))</f>
        <v>-1</v>
      </c>
      <c r="N31" s="1" t="str">
        <f ca="1">IFERROR(VLOOKUP(DB_TBL_DATA_FIELDS[[#This Row],[FIELD_STATUS_CODE]],DB_TBL_CONFIG_FIELDSTATUSCODES[#All],3,FALSE),"")</f>
        <v>Optional</v>
      </c>
      <c r="O31" s="1" t="str">
        <f ca="1">IFERROR(VLOOKUP(DB_TBL_DATA_FIELDS[[#This Row],[FIELD_STATUS_CODE]],DB_TBL_CONFIG_FIELDSTATUSCODES[#All],4,FALSE),"")</f>
        <v xml:space="preserve"> </v>
      </c>
      <c r="P31" s="1" t="b">
        <f>TRUE</f>
        <v>1</v>
      </c>
      <c r="Q31" s="1" t="b">
        <f>TRUE</f>
        <v>1</v>
      </c>
      <c r="R31" s="1" t="s">
        <v>9</v>
      </c>
      <c r="S31" s="1">
        <f ca="1">IF(DB_TBL_DATA_FIELDS[[#This Row],[RANGE_VALIDATION_FLAG]]="Text",LEN(DB_TBL_DATA_FIELDS[[#This Row],[FIELD_VALUE_RAW]]),IFERROR(VALUE(DB_TBL_DATA_FIELDS[[#This Row],[FIELD_VALUE_RAW]]),-1))</f>
        <v>0</v>
      </c>
      <c r="T31" s="1">
        <v>0</v>
      </c>
      <c r="U31" s="1">
        <v>30</v>
      </c>
      <c r="V31" s="1" t="b">
        <f ca="1">IF(NOT(DB_TBL_DATA_FIELDS[[#This Row],[RANGE_VALIDATION_ON_FLAG]]),TRUE,
AND(DB_TBL_DATA_FIELDS[[#This Row],[RANGE_VALUE_LEN]]&gt;=DB_TBL_DATA_FIELDS[[#This Row],[RANGE_VALIDATION_MIN]],DB_TBL_DATA_FIELDS[[#This Row],[RANGE_VALUE_LEN]]&lt;=DB_TBL_DATA_FIELDS[[#This Row],[RANGE_VALIDATION_MAX]]))</f>
        <v>1</v>
      </c>
      <c r="W31" s="1">
        <v>1</v>
      </c>
      <c r="X31" s="1">
        <f ca="1">IF(DB_TBL_DATA_FIELDS[[#This Row],[PCT_CALC_SHOW_STATUS_CODE]]=1,
DB_TBL_DATA_FIELDS[[#This Row],[FIELD_STATUS_CODE]],
IF(AND(DB_TBL_DATA_FIELDS[[#This Row],[PCT_CALC_SHOW_STATUS_CODE]]=2,DB_TBL_DATA_FIELDS[[#This Row],[FIELD_STATUS_CODE]]=0),
DB_TBL_DATA_FIELDS[[#This Row],[FIELD_STATUS_CODE]],
"")
)</f>
        <v>-1</v>
      </c>
    </row>
    <row r="32" spans="1:26" x14ac:dyDescent="0.2">
      <c r="A32" s="1" t="s">
        <v>2207</v>
      </c>
      <c r="B32" s="16" t="str">
        <f ca="1">IFERROR(IF(FIND(DATA_EFORM_TYPE_CODE,DB_TBL_DATA_FIELDS[[#This Row],[APPLICABLE_EFORM_LIST]])&gt;0,DATA_EFORM_TYPE_CODE,""),"")</f>
        <v>RES</v>
      </c>
      <c r="C32" s="1" t="s">
        <v>2270</v>
      </c>
      <c r="D32" s="1" t="b">
        <v>1</v>
      </c>
      <c r="E32" s="84" t="b">
        <f ca="1">OR(DATA_CO_BORW_STARTED_FLAG,DATA_THRD_BORW_STARTED_FLAG)</f>
        <v>0</v>
      </c>
      <c r="F32" s="2" t="s">
        <v>2291</v>
      </c>
      <c r="G32" s="2" t="str">
        <f ca="1">IFERROR(VLOOKUP(DB_TBL_DATA_FIELDS[[#This Row],[FIELD_ID]],INDIRECT(DB_TBL_DATA_FIELDS[[#This Row],[SHEET_REF_CALC]]&amp;"!A:B"),2,FALSE),"")</f>
        <v/>
      </c>
      <c r="I32" s="2" t="b">
        <f ca="1">(DB_TBL_DATA_FIELDS[[#This Row],[FIELD_VALUE_RAW]]="")</f>
        <v>1</v>
      </c>
      <c r="J32" s="2" t="s">
        <v>9</v>
      </c>
      <c r="K32" s="1" t="b">
        <f ca="1">AND(IF(DB_TBL_DATA_FIELDS[[#This Row],[FIELD_VALID_CUSTOM_LOGIC]]="",TRUE,DB_TBL_DATA_FIELDS[[#This Row],[FIELD_VALID_CUSTOM_LOGIC]]),DB_TBL_DATA_FIELDS[[#This Row],[RANGE_VALIDATION_PASSED_FLAG]])</f>
        <v>1</v>
      </c>
      <c r="L32"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2" s="1">
        <f ca="1">IF(DB_TBL_DATA_FIELDS[[#This Row],[SHEET_REF_CALC]]="","",IF(DB_TBL_DATA_FIELDS[[#This Row],[FIELD_EMPTY_FLAG]],IF(NOT(DB_TBL_DATA_FIELDS[[#This Row],[FIELD_REQ_FLAG]]),-1,1),IF(NOT(DB_TBL_DATA_FIELDS[[#This Row],[FIELD_VALID_FLAG]]),0,2)))</f>
        <v>-1</v>
      </c>
      <c r="N32" s="1" t="str">
        <f ca="1">IFERROR(VLOOKUP(DB_TBL_DATA_FIELDS[[#This Row],[FIELD_STATUS_CODE]],DB_TBL_CONFIG_FIELDSTATUSCODES[#All],3,FALSE),"")</f>
        <v>Optional</v>
      </c>
      <c r="O32" s="1" t="str">
        <f ca="1">IFERROR(VLOOKUP(DB_TBL_DATA_FIELDS[[#This Row],[FIELD_STATUS_CODE]],DB_TBL_CONFIG_FIELDSTATUSCODES[#All],4,FALSE),"")</f>
        <v xml:space="preserve"> </v>
      </c>
      <c r="P32" s="1" t="b">
        <f>TRUE</f>
        <v>1</v>
      </c>
      <c r="Q32" s="1" t="b">
        <f>TRUE</f>
        <v>1</v>
      </c>
      <c r="R32" s="1" t="s">
        <v>9</v>
      </c>
      <c r="S32" s="1">
        <f ca="1">IF(DB_TBL_DATA_FIELDS[[#This Row],[RANGE_VALIDATION_FLAG]]="Text",LEN(DB_TBL_DATA_FIELDS[[#This Row],[FIELD_VALUE_RAW]]),IFERROR(VALUE(DB_TBL_DATA_FIELDS[[#This Row],[FIELD_VALUE_RAW]]),-1))</f>
        <v>0</v>
      </c>
      <c r="T32" s="1">
        <v>0</v>
      </c>
      <c r="U32" s="1">
        <v>30</v>
      </c>
      <c r="V32" s="1" t="b">
        <f ca="1">IF(NOT(DB_TBL_DATA_FIELDS[[#This Row],[RANGE_VALIDATION_ON_FLAG]]),TRUE,
AND(DB_TBL_DATA_FIELDS[[#This Row],[RANGE_VALUE_LEN]]&gt;=DB_TBL_DATA_FIELDS[[#This Row],[RANGE_VALIDATION_MIN]],DB_TBL_DATA_FIELDS[[#This Row],[RANGE_VALUE_LEN]]&lt;=DB_TBL_DATA_FIELDS[[#This Row],[RANGE_VALIDATION_MAX]]))</f>
        <v>1</v>
      </c>
      <c r="W32" s="1">
        <v>1</v>
      </c>
      <c r="X32" s="1">
        <f ca="1">IF(DB_TBL_DATA_FIELDS[[#This Row],[PCT_CALC_SHOW_STATUS_CODE]]=1,
DB_TBL_DATA_FIELDS[[#This Row],[FIELD_STATUS_CODE]],
IF(AND(DB_TBL_DATA_FIELDS[[#This Row],[PCT_CALC_SHOW_STATUS_CODE]]=2,DB_TBL_DATA_FIELDS[[#This Row],[FIELD_STATUS_CODE]]=0),
DB_TBL_DATA_FIELDS[[#This Row],[FIELD_STATUS_CODE]],
"")
)</f>
        <v>-1</v>
      </c>
    </row>
    <row r="33" spans="1:26" x14ac:dyDescent="0.2">
      <c r="A33" s="1" t="s">
        <v>2207</v>
      </c>
      <c r="B33" s="16" t="str">
        <f ca="1">IFERROR(IF(FIND(DATA_EFORM_TYPE_CODE,DB_TBL_DATA_FIELDS[[#This Row],[APPLICABLE_EFORM_LIST]])&gt;0,DATA_EFORM_TYPE_CODE,""),"")</f>
        <v>RES</v>
      </c>
      <c r="C33" s="1" t="s">
        <v>2273</v>
      </c>
      <c r="D33" s="1" t="b">
        <v>1</v>
      </c>
      <c r="E33" s="84" t="b">
        <f ca="1">OR(DATA_CO_BORW_STARTED_FLAG,DATA_THRD_BORW_STARTED_FLAG)</f>
        <v>0</v>
      </c>
      <c r="F33" s="2" t="s">
        <v>2304</v>
      </c>
      <c r="G33" s="2" t="str">
        <f ca="1">IFERROR(VLOOKUP(DB_TBL_DATA_FIELDS[[#This Row],[FIELD_ID]],INDIRECT(DB_TBL_DATA_FIELDS[[#This Row],[SHEET_REF_CALC]]&amp;"!A:B"),2,FALSE),"")</f>
        <v/>
      </c>
      <c r="H33" s="21" t="str">
        <f ca="1">IF(DB_TBL_DATA_FIELDS[[#This Row],[FIELD_EMPTY_FLAG]],"",DB_TBL_DATA_FIELDS[[#This Row],[FIELD_REQ_FLAG]])</f>
        <v/>
      </c>
      <c r="I33" s="2" t="b">
        <f ca="1">(DB_TBL_DATA_FIELDS[[#This Row],[FIELD_VALUE_RAW]]="")</f>
        <v>1</v>
      </c>
      <c r="J33" s="2" t="s">
        <v>9</v>
      </c>
      <c r="K33" s="1" t="b">
        <f ca="1">AND(IF(DB_TBL_DATA_FIELDS[[#This Row],[FIELD_VALID_CUSTOM_LOGIC]]="",TRUE,DB_TBL_DATA_FIELDS[[#This Row],[FIELD_VALID_CUSTOM_LOGIC]]),DB_TBL_DATA_FIELDS[[#This Row],[RANGE_VALIDATION_PASSED_FLAG]])</f>
        <v>1</v>
      </c>
      <c r="L33"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3" s="1">
        <f ca="1">IF(DB_TBL_DATA_FIELDS[[#This Row],[SHEET_REF_CALC]]="","",IF(DB_TBL_DATA_FIELDS[[#This Row],[FIELD_EMPTY_FLAG]],IF(NOT(DB_TBL_DATA_FIELDS[[#This Row],[FIELD_REQ_FLAG]]),-1,1),IF(NOT(DB_TBL_DATA_FIELDS[[#This Row],[FIELD_VALID_FLAG]]),0,2)))</f>
        <v>-1</v>
      </c>
      <c r="N33" s="1" t="str">
        <f ca="1">IFERROR(VLOOKUP(DB_TBL_DATA_FIELDS[[#This Row],[FIELD_STATUS_CODE]],DB_TBL_CONFIG_FIELDSTATUSCODES[#All],3,FALSE),"")</f>
        <v>Optional</v>
      </c>
      <c r="O33" s="1" t="str">
        <f ca="1">IFERROR(VLOOKUP(DB_TBL_DATA_FIELDS[[#This Row],[FIELD_STATUS_CODE]],DB_TBL_CONFIG_FIELDSTATUSCODES[#All],4,FALSE),"")</f>
        <v xml:space="preserve"> </v>
      </c>
      <c r="P33" s="1" t="b">
        <f>TRUE</f>
        <v>1</v>
      </c>
      <c r="Q33" s="1" t="b">
        <f>TRUE</f>
        <v>1</v>
      </c>
      <c r="R33" s="1" t="s">
        <v>9</v>
      </c>
      <c r="S33" s="1">
        <f ca="1">IF(DB_TBL_DATA_FIELDS[[#This Row],[RANGE_VALIDATION_FLAG]]="Text",LEN(DB_TBL_DATA_FIELDS[[#This Row],[FIELD_VALUE_RAW]]),IFERROR(VALUE(DB_TBL_DATA_FIELDS[[#This Row],[FIELD_VALUE_RAW]]),-1))</f>
        <v>0</v>
      </c>
      <c r="T33" s="1">
        <v>0</v>
      </c>
      <c r="U33" s="1">
        <v>25</v>
      </c>
      <c r="V33" s="1" t="b">
        <f ca="1">IF(NOT(DB_TBL_DATA_FIELDS[[#This Row],[RANGE_VALIDATION_ON_FLAG]]),TRUE,
AND(DB_TBL_DATA_FIELDS[[#This Row],[RANGE_VALUE_LEN]]&gt;=DB_TBL_DATA_FIELDS[[#This Row],[RANGE_VALIDATION_MIN]],DB_TBL_DATA_FIELDS[[#This Row],[RANGE_VALUE_LEN]]&lt;=DB_TBL_DATA_FIELDS[[#This Row],[RANGE_VALIDATION_MAX]]))</f>
        <v>1</v>
      </c>
      <c r="W33" s="1">
        <v>1</v>
      </c>
      <c r="X33" s="1">
        <f ca="1">IF(DB_TBL_DATA_FIELDS[[#This Row],[PCT_CALC_SHOW_STATUS_CODE]]=1,
DB_TBL_DATA_FIELDS[[#This Row],[FIELD_STATUS_CODE]],
IF(AND(DB_TBL_DATA_FIELDS[[#This Row],[PCT_CALC_SHOW_STATUS_CODE]]=2,DB_TBL_DATA_FIELDS[[#This Row],[FIELD_STATUS_CODE]]=0),
DB_TBL_DATA_FIELDS[[#This Row],[FIELD_STATUS_CODE]],
"")
)</f>
        <v>-1</v>
      </c>
    </row>
    <row r="34" spans="1:26" x14ac:dyDescent="0.2">
      <c r="A34" s="246" t="s">
        <v>2904</v>
      </c>
      <c r="B34" s="16" t="str">
        <f ca="1">IFERROR(IF(FIND(DATA_EFORM_TYPE_CODE,DB_TBL_DATA_FIELDS[[#This Row],[APPLICABLE_EFORM_LIST]])&gt;0,DATA_EFORM_TYPE_CODE,""),"")</f>
        <v/>
      </c>
      <c r="C34" s="247" t="s">
        <v>2274</v>
      </c>
      <c r="D34" s="1" t="b">
        <v>1</v>
      </c>
      <c r="E34" s="248" t="b">
        <v>0</v>
      </c>
      <c r="F34" s="2" t="s">
        <v>2305</v>
      </c>
      <c r="G34" s="249"/>
      <c r="H34" s="21" t="str">
        <f>IF(DB_TBL_DATA_FIELDS[[#This Row],[FIELD_EMPTY_FLAG]],"",DB_TBL_DATA_FIELDS[[#This Row],[FIELD_REQ_FLAG]])</f>
        <v/>
      </c>
      <c r="I34" s="2" t="b">
        <f>(DB_TBL_DATA_FIELDS[[#This Row],[FIELD_VALUE_RAW]]="")</f>
        <v>1</v>
      </c>
      <c r="J34" s="2" t="s">
        <v>140</v>
      </c>
      <c r="K34" s="1" t="b">
        <f>AND(IF(DB_TBL_DATA_FIELDS[[#This Row],[FIELD_VALID_CUSTOM_LOGIC]]="",TRUE,DB_TBL_DATA_FIELDS[[#This Row],[FIELD_VALID_CUSTOM_LOGIC]]),DB_TBL_DATA_FIELDS[[#This Row],[RANGE_VALIDATION_PASSED_FLAG]])</f>
        <v>1</v>
      </c>
      <c r="L34" s="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4" s="1" t="str">
        <f ca="1">IF(DB_TBL_DATA_FIELDS[[#This Row],[SHEET_REF_CALC]]="","",IF(DB_TBL_DATA_FIELDS[[#This Row],[FIELD_EMPTY_FLAG]],IF(NOT(DB_TBL_DATA_FIELDS[[#This Row],[FIELD_REQ_FLAG]]),-1,1),IF(NOT(DB_TBL_DATA_FIELDS[[#This Row],[FIELD_VALID_FLAG]]),0,2)))</f>
        <v/>
      </c>
      <c r="N34" s="1" t="str">
        <f ca="1">IFERROR(VLOOKUP(DB_TBL_DATA_FIELDS[[#This Row],[FIELD_STATUS_CODE]],DB_TBL_CONFIG_FIELDSTATUSCODES[#All],3,FALSE),"")</f>
        <v/>
      </c>
      <c r="O34" s="1" t="str">
        <f ca="1">IFERROR(VLOOKUP(DB_TBL_DATA_FIELDS[[#This Row],[FIELD_STATUS_CODE]],DB_TBL_CONFIG_FIELDSTATUSCODES[#All],4,FALSE),"")</f>
        <v/>
      </c>
      <c r="P34" s="1" t="b">
        <f>TRUE</f>
        <v>1</v>
      </c>
      <c r="Q34" s="1" t="b">
        <v>0</v>
      </c>
      <c r="S34" s="1">
        <f>IF(DB_TBL_DATA_FIELDS[[#This Row],[RANGE_VALIDATION_FLAG]]="Text",LEN(DB_TBL_DATA_FIELDS[[#This Row],[FIELD_VALUE_RAW]]),IFERROR(VALUE(DB_TBL_DATA_FIELDS[[#This Row],[FIELD_VALUE_RAW]]),-1))</f>
        <v>0</v>
      </c>
      <c r="V34" s="1" t="b">
        <f>IF(NOT(DB_TBL_DATA_FIELDS[[#This Row],[RANGE_VALIDATION_ON_FLAG]]),TRUE,
AND(DB_TBL_DATA_FIELDS[[#This Row],[RANGE_VALUE_LEN]]&gt;=DB_TBL_DATA_FIELDS[[#This Row],[RANGE_VALIDATION_MIN]],DB_TBL_DATA_FIELDS[[#This Row],[RANGE_VALUE_LEN]]&lt;=DB_TBL_DATA_FIELDS[[#This Row],[RANGE_VALIDATION_MAX]]))</f>
        <v>1</v>
      </c>
      <c r="W34" s="1">
        <v>1</v>
      </c>
      <c r="X34" s="1" t="str">
        <f ca="1">IF(DB_TBL_DATA_FIELDS[[#This Row],[PCT_CALC_SHOW_STATUS_CODE]]=1,
DB_TBL_DATA_FIELDS[[#This Row],[FIELD_STATUS_CODE]],
IF(AND(DB_TBL_DATA_FIELDS[[#This Row],[PCT_CALC_SHOW_STATUS_CODE]]=2,DB_TBL_DATA_FIELDS[[#This Row],[FIELD_STATUS_CODE]]=0),
DB_TBL_DATA_FIELDS[[#This Row],[FIELD_STATUS_CODE]],
"")
)</f>
        <v/>
      </c>
    </row>
    <row r="35" spans="1:26" x14ac:dyDescent="0.2">
      <c r="A35" s="1" t="s">
        <v>2207</v>
      </c>
      <c r="B35" s="16" t="str">
        <f ca="1">IFERROR(IF(FIND(DATA_EFORM_TYPE_CODE,DB_TBL_DATA_FIELDS[[#This Row],[APPLICABLE_EFORM_LIST]])&gt;0,DATA_EFORM_TYPE_CODE,""),"")</f>
        <v>RES</v>
      </c>
      <c r="C35" s="1" t="s">
        <v>2850</v>
      </c>
      <c r="D35" s="1" t="b">
        <v>0</v>
      </c>
      <c r="E35" s="18" t="b">
        <v>0</v>
      </c>
      <c r="F35" s="2" t="s">
        <v>2851</v>
      </c>
      <c r="G35" s="21" t="b">
        <f ca="1">NOT(AND(I30,I31,I32,I33))</f>
        <v>0</v>
      </c>
      <c r="I35" s="2" t="b">
        <f ca="1">(DB_TBL_DATA_FIELDS[[#This Row],[FIELD_VALUE_RAW]]="")</f>
        <v>0</v>
      </c>
      <c r="J35" s="2" t="s">
        <v>9</v>
      </c>
      <c r="K35" s="1" t="b">
        <f>AND(IF(DB_TBL_DATA_FIELDS[[#This Row],[FIELD_VALID_CUSTOM_LOGIC]]="",TRUE,DB_TBL_DATA_FIELDS[[#This Row],[FIELD_VALID_CUSTOM_LOGIC]]),DB_TBL_DATA_FIELDS[[#This Row],[RANGE_VALIDATION_PASSED_FLAG]])</f>
        <v>1</v>
      </c>
      <c r="L35"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FALSE</v>
      </c>
      <c r="M35" s="1">
        <f ca="1">IF(DB_TBL_DATA_FIELDS[[#This Row],[SHEET_REF_CALC]]="","",IF(DB_TBL_DATA_FIELDS[[#This Row],[FIELD_EMPTY_FLAG]],IF(NOT(DB_TBL_DATA_FIELDS[[#This Row],[FIELD_REQ_FLAG]]),-1,1),IF(NOT(DB_TBL_DATA_FIELDS[[#This Row],[FIELD_VALID_FLAG]]),0,2)))</f>
        <v>2</v>
      </c>
      <c r="N35" s="1" t="str">
        <f ca="1">IFERROR(VLOOKUP(DB_TBL_DATA_FIELDS[[#This Row],[FIELD_STATUS_CODE]],DB_TBL_CONFIG_FIELDSTATUSCODES[#All],3,FALSE),"")</f>
        <v>OK</v>
      </c>
      <c r="O35" s="1" t="str">
        <f ca="1">IFERROR(VLOOKUP(DB_TBL_DATA_FIELDS[[#This Row],[FIELD_STATUS_CODE]],DB_TBL_CONFIG_FIELDSTATUSCODES[#All],4,FALSE),"")</f>
        <v>a</v>
      </c>
      <c r="P35" s="1" t="b">
        <f>TRUE</f>
        <v>1</v>
      </c>
      <c r="Q35" s="1" t="b">
        <v>0</v>
      </c>
      <c r="S35" s="1">
        <f ca="1">IF(DB_TBL_DATA_FIELDS[[#This Row],[RANGE_VALIDATION_FLAG]]="Text",LEN(DB_TBL_DATA_FIELDS[[#This Row],[FIELD_VALUE_RAW]]),IFERROR(VALUE(DB_TBL_DATA_FIELDS[[#This Row],[FIELD_VALUE_RAW]]),-1))</f>
        <v>-1</v>
      </c>
      <c r="V35" s="1" t="b">
        <f>IF(NOT(DB_TBL_DATA_FIELDS[[#This Row],[RANGE_VALIDATION_ON_FLAG]]),TRUE,
AND(DB_TBL_DATA_FIELDS[[#This Row],[RANGE_VALUE_LEN]]&gt;=DB_TBL_DATA_FIELDS[[#This Row],[RANGE_VALIDATION_MIN]],DB_TBL_DATA_FIELDS[[#This Row],[RANGE_VALUE_LEN]]&lt;=DB_TBL_DATA_FIELDS[[#This Row],[RANGE_VALIDATION_MAX]]))</f>
        <v>1</v>
      </c>
      <c r="W35" s="1">
        <v>0</v>
      </c>
      <c r="X35" s="1" t="str">
        <f ca="1">IF(DB_TBL_DATA_FIELDS[[#This Row],[PCT_CALC_SHOW_STATUS_CODE]]=1,
DB_TBL_DATA_FIELDS[[#This Row],[FIELD_STATUS_CODE]],
IF(AND(DB_TBL_DATA_FIELDS[[#This Row],[PCT_CALC_SHOW_STATUS_CODE]]=2,DB_TBL_DATA_FIELDS[[#This Row],[FIELD_STATUS_CODE]]=0),
DB_TBL_DATA_FIELDS[[#This Row],[FIELD_STATUS_CODE]],
"")
)</f>
        <v/>
      </c>
      <c r="Y35" s="1"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row>
    <row r="36" spans="1:26" x14ac:dyDescent="0.2">
      <c r="A36" s="1" t="s">
        <v>2207</v>
      </c>
      <c r="B36" s="16" t="str">
        <f ca="1">IFERROR(IF(FIND(DATA_EFORM_TYPE_CODE,DB_TBL_DATA_FIELDS[[#This Row],[APPLICABLE_EFORM_LIST]])&gt;0,DATA_EFORM_TYPE_CODE,""),"")</f>
        <v>RES</v>
      </c>
      <c r="C36" s="1" t="s">
        <v>2271</v>
      </c>
      <c r="D36" s="1" t="b">
        <v>1</v>
      </c>
      <c r="E36" s="18" t="b">
        <v>0</v>
      </c>
      <c r="F36" s="2" t="s">
        <v>2292</v>
      </c>
      <c r="G36" s="2" t="str">
        <f ca="1">IFERROR(VLOOKUP(DB_TBL_DATA_FIELDS[[#This Row],[FIELD_ID]],INDIRECT(DB_TBL_DATA_FIELDS[[#This Row],[SHEET_REF_CALC]]&amp;"!A:B"),2,FALSE),"")</f>
        <v/>
      </c>
      <c r="I36" s="2" t="b">
        <f ca="1">(DB_TBL_DATA_FIELDS[[#This Row],[FIELD_VALUE_RAW]]="")</f>
        <v>1</v>
      </c>
      <c r="J36" s="2" t="s">
        <v>9</v>
      </c>
      <c r="K36" s="1" t="b">
        <f ca="1">AND(IF(DB_TBL_DATA_FIELDS[[#This Row],[FIELD_VALID_CUSTOM_LOGIC]]="",TRUE,DB_TBL_DATA_FIELDS[[#This Row],[FIELD_VALID_CUSTOM_LOGIC]]),DB_TBL_DATA_FIELDS[[#This Row],[RANGE_VALIDATION_PASSED_FLAG]])</f>
        <v>1</v>
      </c>
      <c r="L36"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6" s="1">
        <f ca="1">IF(DB_TBL_DATA_FIELDS[[#This Row],[SHEET_REF_CALC]]="","",IF(DB_TBL_DATA_FIELDS[[#This Row],[FIELD_EMPTY_FLAG]],IF(NOT(DB_TBL_DATA_FIELDS[[#This Row],[FIELD_REQ_FLAG]]),-1,1),IF(NOT(DB_TBL_DATA_FIELDS[[#This Row],[FIELD_VALID_FLAG]]),0,2)))</f>
        <v>-1</v>
      </c>
      <c r="N36" s="1" t="str">
        <f ca="1">IFERROR(VLOOKUP(DB_TBL_DATA_FIELDS[[#This Row],[FIELD_STATUS_CODE]],DB_TBL_CONFIG_FIELDSTATUSCODES[#All],3,FALSE),"")</f>
        <v>Optional</v>
      </c>
      <c r="O36" s="1" t="str">
        <f ca="1">IFERROR(VLOOKUP(DB_TBL_DATA_FIELDS[[#This Row],[FIELD_STATUS_CODE]],DB_TBL_CONFIG_FIELDSTATUSCODES[#All],4,FALSE),"")</f>
        <v xml:space="preserve"> </v>
      </c>
      <c r="P36" s="1" t="b">
        <f>TRUE</f>
        <v>1</v>
      </c>
      <c r="Q36" s="1" t="b">
        <f>TRUE</f>
        <v>1</v>
      </c>
      <c r="R36" s="1" t="s">
        <v>9</v>
      </c>
      <c r="S36" s="1">
        <f ca="1">IF(DB_TBL_DATA_FIELDS[[#This Row],[RANGE_VALIDATION_FLAG]]="Text",LEN(DB_TBL_DATA_FIELDS[[#This Row],[FIELD_VALUE_RAW]]),IFERROR(VALUE(DB_TBL_DATA_FIELDS[[#This Row],[FIELD_VALUE_RAW]]),-1))</f>
        <v>0</v>
      </c>
      <c r="T36" s="1">
        <v>0</v>
      </c>
      <c r="U36" s="1">
        <v>10</v>
      </c>
      <c r="V36" s="1" t="b">
        <f ca="1">IF(NOT(DB_TBL_DATA_FIELDS[[#This Row],[RANGE_VALIDATION_ON_FLAG]]),TRUE,
AND(DB_TBL_DATA_FIELDS[[#This Row],[RANGE_VALUE_LEN]]&gt;=DB_TBL_DATA_FIELDS[[#This Row],[RANGE_VALIDATION_MIN]],DB_TBL_DATA_FIELDS[[#This Row],[RANGE_VALUE_LEN]]&lt;=DB_TBL_DATA_FIELDS[[#This Row],[RANGE_VALIDATION_MAX]]))</f>
        <v>1</v>
      </c>
      <c r="W36" s="1">
        <v>1</v>
      </c>
      <c r="X36" s="1">
        <f ca="1">IF(DB_TBL_DATA_FIELDS[[#This Row],[PCT_CALC_SHOW_STATUS_CODE]]=1,
DB_TBL_DATA_FIELDS[[#This Row],[FIELD_STATUS_CODE]],
IF(AND(DB_TBL_DATA_FIELDS[[#This Row],[PCT_CALC_SHOW_STATUS_CODE]]=2,DB_TBL_DATA_FIELDS[[#This Row],[FIELD_STATUS_CODE]]=0),
DB_TBL_DATA_FIELDS[[#This Row],[FIELD_STATUS_CODE]],
"")
)</f>
        <v>-1</v>
      </c>
    </row>
    <row r="37" spans="1:26" x14ac:dyDescent="0.2">
      <c r="A37" s="1" t="s">
        <v>2207</v>
      </c>
      <c r="B37" s="16" t="str">
        <f ca="1">IFERROR(IF(FIND(DATA_EFORM_TYPE_CODE,DB_TBL_DATA_FIELDS[[#This Row],[APPLICABLE_EFORM_LIST]])&gt;0,DATA_EFORM_TYPE_CODE,""),"")</f>
        <v>RES</v>
      </c>
      <c r="C37" s="1" t="s">
        <v>2272</v>
      </c>
      <c r="D37" s="1" t="b">
        <v>1</v>
      </c>
      <c r="E37" s="84" t="b">
        <f ca="1">DATA_THRD_BORW_STARTED_FLAG</f>
        <v>0</v>
      </c>
      <c r="F37" s="2" t="s">
        <v>2293</v>
      </c>
      <c r="G37" s="2" t="str">
        <f ca="1">IFERROR(VLOOKUP(DB_TBL_DATA_FIELDS[[#This Row],[FIELD_ID]],INDIRECT(DB_TBL_DATA_FIELDS[[#This Row],[SHEET_REF_CALC]]&amp;"!A:B"),2,FALSE),"")</f>
        <v/>
      </c>
      <c r="I37" s="2" t="b">
        <f ca="1">(DB_TBL_DATA_FIELDS[[#This Row],[FIELD_VALUE_RAW]]="")</f>
        <v>1</v>
      </c>
      <c r="J37" s="2" t="s">
        <v>9</v>
      </c>
      <c r="K37" s="1" t="b">
        <f ca="1">AND(IF(DB_TBL_DATA_FIELDS[[#This Row],[FIELD_VALID_CUSTOM_LOGIC]]="",TRUE,DB_TBL_DATA_FIELDS[[#This Row],[FIELD_VALID_CUSTOM_LOGIC]]),DB_TBL_DATA_FIELDS[[#This Row],[RANGE_VALIDATION_PASSED_FLAG]])</f>
        <v>1</v>
      </c>
      <c r="L3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7" s="1">
        <f ca="1">IF(DB_TBL_DATA_FIELDS[[#This Row],[SHEET_REF_CALC]]="","",IF(DB_TBL_DATA_FIELDS[[#This Row],[FIELD_EMPTY_FLAG]],IF(NOT(DB_TBL_DATA_FIELDS[[#This Row],[FIELD_REQ_FLAG]]),-1,1),IF(NOT(DB_TBL_DATA_FIELDS[[#This Row],[FIELD_VALID_FLAG]]),0,2)))</f>
        <v>-1</v>
      </c>
      <c r="N37" s="1" t="str">
        <f ca="1">IFERROR(VLOOKUP(DB_TBL_DATA_FIELDS[[#This Row],[FIELD_STATUS_CODE]],DB_TBL_CONFIG_FIELDSTATUSCODES[#All],3,FALSE),"")</f>
        <v>Optional</v>
      </c>
      <c r="O37" s="1" t="str">
        <f ca="1">IFERROR(VLOOKUP(DB_TBL_DATA_FIELDS[[#This Row],[FIELD_STATUS_CODE]],DB_TBL_CONFIG_FIELDSTATUSCODES[#All],4,FALSE),"")</f>
        <v xml:space="preserve"> </v>
      </c>
      <c r="P37" s="1" t="b">
        <f>TRUE</f>
        <v>1</v>
      </c>
      <c r="Q37" s="1" t="b">
        <f>TRUE</f>
        <v>1</v>
      </c>
      <c r="R37" s="1" t="s">
        <v>9</v>
      </c>
      <c r="S37" s="1">
        <f ca="1">IF(DB_TBL_DATA_FIELDS[[#This Row],[RANGE_VALIDATION_FLAG]]="Text",LEN(DB_TBL_DATA_FIELDS[[#This Row],[FIELD_VALUE_RAW]]),IFERROR(VALUE(DB_TBL_DATA_FIELDS[[#This Row],[FIELD_VALUE_RAW]]),-1))</f>
        <v>0</v>
      </c>
      <c r="T37" s="1">
        <v>0</v>
      </c>
      <c r="U37" s="1">
        <v>30</v>
      </c>
      <c r="V37" s="1" t="b">
        <f ca="1">IF(NOT(DB_TBL_DATA_FIELDS[[#This Row],[RANGE_VALIDATION_ON_FLAG]]),TRUE,
AND(DB_TBL_DATA_FIELDS[[#This Row],[RANGE_VALUE_LEN]]&gt;=DB_TBL_DATA_FIELDS[[#This Row],[RANGE_VALIDATION_MIN]],DB_TBL_DATA_FIELDS[[#This Row],[RANGE_VALUE_LEN]]&lt;=DB_TBL_DATA_FIELDS[[#This Row],[RANGE_VALIDATION_MAX]]))</f>
        <v>1</v>
      </c>
      <c r="W37" s="1">
        <v>1</v>
      </c>
      <c r="X37" s="1">
        <f ca="1">IF(DB_TBL_DATA_FIELDS[[#This Row],[PCT_CALC_SHOW_STATUS_CODE]]=1,
DB_TBL_DATA_FIELDS[[#This Row],[FIELD_STATUS_CODE]],
IF(AND(DB_TBL_DATA_FIELDS[[#This Row],[PCT_CALC_SHOW_STATUS_CODE]]=2,DB_TBL_DATA_FIELDS[[#This Row],[FIELD_STATUS_CODE]]=0),
DB_TBL_DATA_FIELDS[[#This Row],[FIELD_STATUS_CODE]],
"")
)</f>
        <v>-1</v>
      </c>
    </row>
    <row r="38" spans="1:26" x14ac:dyDescent="0.2">
      <c r="A38" s="1" t="s">
        <v>2207</v>
      </c>
      <c r="B38" s="16" t="str">
        <f ca="1">IFERROR(IF(FIND(DATA_EFORM_TYPE_CODE,DB_TBL_DATA_FIELDS[[#This Row],[APPLICABLE_EFORM_LIST]])&gt;0,DATA_EFORM_TYPE_CODE,""),"")</f>
        <v>RES</v>
      </c>
      <c r="C38" s="1" t="s">
        <v>2277</v>
      </c>
      <c r="D38" s="1" t="b">
        <v>1</v>
      </c>
      <c r="E38" s="84" t="b">
        <f ca="1">DATA_THRD_BORW_STARTED_FLAG</f>
        <v>0</v>
      </c>
      <c r="F38" s="2" t="s">
        <v>2294</v>
      </c>
      <c r="G38" s="2" t="str">
        <f ca="1">IFERROR(VLOOKUP(DB_TBL_DATA_FIELDS[[#This Row],[FIELD_ID]],INDIRECT(DB_TBL_DATA_FIELDS[[#This Row],[SHEET_REF_CALC]]&amp;"!A:B"),2,FALSE),"")</f>
        <v/>
      </c>
      <c r="I38" s="2" t="b">
        <f ca="1">(DB_TBL_DATA_FIELDS[[#This Row],[FIELD_VALUE_RAW]]="")</f>
        <v>1</v>
      </c>
      <c r="J38" s="2" t="s">
        <v>9</v>
      </c>
      <c r="K38" s="1" t="b">
        <f ca="1">AND(IF(DB_TBL_DATA_FIELDS[[#This Row],[FIELD_VALID_CUSTOM_LOGIC]]="",TRUE,DB_TBL_DATA_FIELDS[[#This Row],[FIELD_VALID_CUSTOM_LOGIC]]),DB_TBL_DATA_FIELDS[[#This Row],[RANGE_VALIDATION_PASSED_FLAG]])</f>
        <v>1</v>
      </c>
      <c r="L38"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8" s="1">
        <f ca="1">IF(DB_TBL_DATA_FIELDS[[#This Row],[SHEET_REF_CALC]]="","",IF(DB_TBL_DATA_FIELDS[[#This Row],[FIELD_EMPTY_FLAG]],IF(NOT(DB_TBL_DATA_FIELDS[[#This Row],[FIELD_REQ_FLAG]]),-1,1),IF(NOT(DB_TBL_DATA_FIELDS[[#This Row],[FIELD_VALID_FLAG]]),0,2)))</f>
        <v>-1</v>
      </c>
      <c r="N38" s="1" t="str">
        <f ca="1">IFERROR(VLOOKUP(DB_TBL_DATA_FIELDS[[#This Row],[FIELD_STATUS_CODE]],DB_TBL_CONFIG_FIELDSTATUSCODES[#All],3,FALSE),"")</f>
        <v>Optional</v>
      </c>
      <c r="O38" s="1" t="str">
        <f ca="1">IFERROR(VLOOKUP(DB_TBL_DATA_FIELDS[[#This Row],[FIELD_STATUS_CODE]],DB_TBL_CONFIG_FIELDSTATUSCODES[#All],4,FALSE),"")</f>
        <v xml:space="preserve"> </v>
      </c>
      <c r="P38" s="1" t="b">
        <f>TRUE</f>
        <v>1</v>
      </c>
      <c r="Q38" s="1" t="b">
        <f>TRUE</f>
        <v>1</v>
      </c>
      <c r="R38" s="1" t="s">
        <v>9</v>
      </c>
      <c r="S38" s="1">
        <f ca="1">IF(DB_TBL_DATA_FIELDS[[#This Row],[RANGE_VALIDATION_FLAG]]="Text",LEN(DB_TBL_DATA_FIELDS[[#This Row],[FIELD_VALUE_RAW]]),IFERROR(VALUE(DB_TBL_DATA_FIELDS[[#This Row],[FIELD_VALUE_RAW]]),-1))</f>
        <v>0</v>
      </c>
      <c r="T38" s="1">
        <v>0</v>
      </c>
      <c r="U38" s="1">
        <v>30</v>
      </c>
      <c r="V38" s="1" t="b">
        <f ca="1">IF(NOT(DB_TBL_DATA_FIELDS[[#This Row],[RANGE_VALIDATION_ON_FLAG]]),TRUE,
AND(DB_TBL_DATA_FIELDS[[#This Row],[RANGE_VALUE_LEN]]&gt;=DB_TBL_DATA_FIELDS[[#This Row],[RANGE_VALIDATION_MIN]],DB_TBL_DATA_FIELDS[[#This Row],[RANGE_VALUE_LEN]]&lt;=DB_TBL_DATA_FIELDS[[#This Row],[RANGE_VALIDATION_MAX]]))</f>
        <v>1</v>
      </c>
      <c r="W38" s="1">
        <v>1</v>
      </c>
      <c r="X38" s="1">
        <f ca="1">IF(DB_TBL_DATA_FIELDS[[#This Row],[PCT_CALC_SHOW_STATUS_CODE]]=1,
DB_TBL_DATA_FIELDS[[#This Row],[FIELD_STATUS_CODE]],
IF(AND(DB_TBL_DATA_FIELDS[[#This Row],[PCT_CALC_SHOW_STATUS_CODE]]=2,DB_TBL_DATA_FIELDS[[#This Row],[FIELD_STATUS_CODE]]=0),
DB_TBL_DATA_FIELDS[[#This Row],[FIELD_STATUS_CODE]],
"")
)</f>
        <v>-1</v>
      </c>
    </row>
    <row r="39" spans="1:26" x14ac:dyDescent="0.2">
      <c r="A39" s="1" t="s">
        <v>2207</v>
      </c>
      <c r="B39" s="16" t="str">
        <f ca="1">IFERROR(IF(FIND(DATA_EFORM_TYPE_CODE,DB_TBL_DATA_FIELDS[[#This Row],[APPLICABLE_EFORM_LIST]])&gt;0,DATA_EFORM_TYPE_CODE,""),"")</f>
        <v>RES</v>
      </c>
      <c r="C39" s="1" t="s">
        <v>2275</v>
      </c>
      <c r="D39" s="1" t="b">
        <v>1</v>
      </c>
      <c r="E39" s="84" t="b">
        <f ca="1">DATA_THRD_BORW_STARTED_FLAG</f>
        <v>0</v>
      </c>
      <c r="F39" s="2" t="s">
        <v>2306</v>
      </c>
      <c r="G39" s="2" t="str">
        <f ca="1">IFERROR(VLOOKUP(DB_TBL_DATA_FIELDS[[#This Row],[FIELD_ID]],INDIRECT(DB_TBL_DATA_FIELDS[[#This Row],[SHEET_REF_CALC]]&amp;"!A:B"),2,FALSE),"")</f>
        <v/>
      </c>
      <c r="H39" s="21" t="str">
        <f ca="1">IF(DB_TBL_DATA_FIELDS[[#This Row],[FIELD_EMPTY_FLAG]],"",DB_TBL_DATA_FIELDS[[#This Row],[FIELD_REQ_FLAG]])</f>
        <v/>
      </c>
      <c r="I39" s="2" t="b">
        <f ca="1">(DB_TBL_DATA_FIELDS[[#This Row],[FIELD_VALUE_RAW]]="")</f>
        <v>1</v>
      </c>
      <c r="J39" s="2" t="s">
        <v>9</v>
      </c>
      <c r="K39" s="1" t="b">
        <f ca="1">AND(IF(DB_TBL_DATA_FIELDS[[#This Row],[FIELD_VALID_CUSTOM_LOGIC]]="",TRUE,DB_TBL_DATA_FIELDS[[#This Row],[FIELD_VALID_CUSTOM_LOGIC]]),DB_TBL_DATA_FIELDS[[#This Row],[RANGE_VALIDATION_PASSED_FLAG]])</f>
        <v>1</v>
      </c>
      <c r="L39"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9" s="1">
        <f ca="1">IF(DB_TBL_DATA_FIELDS[[#This Row],[SHEET_REF_CALC]]="","",IF(DB_TBL_DATA_FIELDS[[#This Row],[FIELD_EMPTY_FLAG]],IF(NOT(DB_TBL_DATA_FIELDS[[#This Row],[FIELD_REQ_FLAG]]),-1,1),IF(NOT(DB_TBL_DATA_FIELDS[[#This Row],[FIELD_VALID_FLAG]]),0,2)))</f>
        <v>-1</v>
      </c>
      <c r="N39" s="1" t="str">
        <f ca="1">IFERROR(VLOOKUP(DB_TBL_DATA_FIELDS[[#This Row],[FIELD_STATUS_CODE]],DB_TBL_CONFIG_FIELDSTATUSCODES[#All],3,FALSE),"")</f>
        <v>Optional</v>
      </c>
      <c r="O39" s="1" t="str">
        <f ca="1">IFERROR(VLOOKUP(DB_TBL_DATA_FIELDS[[#This Row],[FIELD_STATUS_CODE]],DB_TBL_CONFIG_FIELDSTATUSCODES[#All],4,FALSE),"")</f>
        <v xml:space="preserve"> </v>
      </c>
      <c r="P39" s="1" t="b">
        <f>TRUE</f>
        <v>1</v>
      </c>
      <c r="Q39" s="1" t="b">
        <f>TRUE</f>
        <v>1</v>
      </c>
      <c r="R39" s="1" t="s">
        <v>9</v>
      </c>
      <c r="S39" s="1">
        <f ca="1">IF(DB_TBL_DATA_FIELDS[[#This Row],[RANGE_VALIDATION_FLAG]]="Text",LEN(DB_TBL_DATA_FIELDS[[#This Row],[FIELD_VALUE_RAW]]),IFERROR(VALUE(DB_TBL_DATA_FIELDS[[#This Row],[FIELD_VALUE_RAW]]),-1))</f>
        <v>0</v>
      </c>
      <c r="T39" s="1">
        <v>0</v>
      </c>
      <c r="U39" s="1">
        <v>25</v>
      </c>
      <c r="V39" s="1" t="b">
        <f ca="1">IF(NOT(DB_TBL_DATA_FIELDS[[#This Row],[RANGE_VALIDATION_ON_FLAG]]),TRUE,
AND(DB_TBL_DATA_FIELDS[[#This Row],[RANGE_VALUE_LEN]]&gt;=DB_TBL_DATA_FIELDS[[#This Row],[RANGE_VALIDATION_MIN]],DB_TBL_DATA_FIELDS[[#This Row],[RANGE_VALUE_LEN]]&lt;=DB_TBL_DATA_FIELDS[[#This Row],[RANGE_VALIDATION_MAX]]))</f>
        <v>1</v>
      </c>
      <c r="W39" s="1">
        <v>1</v>
      </c>
      <c r="X39" s="1">
        <f ca="1">IF(DB_TBL_DATA_FIELDS[[#This Row],[PCT_CALC_SHOW_STATUS_CODE]]=1,
DB_TBL_DATA_FIELDS[[#This Row],[FIELD_STATUS_CODE]],
IF(AND(DB_TBL_DATA_FIELDS[[#This Row],[PCT_CALC_SHOW_STATUS_CODE]]=2,DB_TBL_DATA_FIELDS[[#This Row],[FIELD_STATUS_CODE]]=0),
DB_TBL_DATA_FIELDS[[#This Row],[FIELD_STATUS_CODE]],
"")
)</f>
        <v>-1</v>
      </c>
    </row>
    <row r="40" spans="1:26" x14ac:dyDescent="0.2">
      <c r="A40" s="246" t="s">
        <v>2904</v>
      </c>
      <c r="B40" s="16" t="str">
        <f ca="1">IFERROR(IF(FIND(DATA_EFORM_TYPE_CODE,DB_TBL_DATA_FIELDS[[#This Row],[APPLICABLE_EFORM_LIST]])&gt;0,DATA_EFORM_TYPE_CODE,""),"")</f>
        <v/>
      </c>
      <c r="C40" s="247" t="s">
        <v>2276</v>
      </c>
      <c r="D40" s="1" t="b">
        <v>1</v>
      </c>
      <c r="E40" s="248" t="b">
        <v>0</v>
      </c>
      <c r="F40" s="2" t="s">
        <v>2307</v>
      </c>
      <c r="G40" s="249"/>
      <c r="H40" s="21" t="str">
        <f>IF(DB_TBL_DATA_FIELDS[[#This Row],[FIELD_EMPTY_FLAG]],"",DB_TBL_DATA_FIELDS[[#This Row],[FIELD_REQ_FLAG]])</f>
        <v/>
      </c>
      <c r="I40" s="2" t="b">
        <f>(DB_TBL_DATA_FIELDS[[#This Row],[FIELD_VALUE_RAW]]="")</f>
        <v>1</v>
      </c>
      <c r="J40" s="2" t="s">
        <v>140</v>
      </c>
      <c r="K40" s="1" t="b">
        <f>AND(IF(DB_TBL_DATA_FIELDS[[#This Row],[FIELD_VALID_CUSTOM_LOGIC]]="",TRUE,DB_TBL_DATA_FIELDS[[#This Row],[FIELD_VALID_CUSTOM_LOGIC]]),DB_TBL_DATA_FIELDS[[#This Row],[RANGE_VALIDATION_PASSED_FLAG]])</f>
        <v>1</v>
      </c>
      <c r="L40" s="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0" s="1" t="str">
        <f ca="1">IF(DB_TBL_DATA_FIELDS[[#This Row],[SHEET_REF_CALC]]="","",IF(DB_TBL_DATA_FIELDS[[#This Row],[FIELD_EMPTY_FLAG]],IF(NOT(DB_TBL_DATA_FIELDS[[#This Row],[FIELD_REQ_FLAG]]),-1,1),IF(NOT(DB_TBL_DATA_FIELDS[[#This Row],[FIELD_VALID_FLAG]]),0,2)))</f>
        <v/>
      </c>
      <c r="N40" s="1" t="str">
        <f ca="1">IFERROR(VLOOKUP(DB_TBL_DATA_FIELDS[[#This Row],[FIELD_STATUS_CODE]],DB_TBL_CONFIG_FIELDSTATUSCODES[#All],3,FALSE),"")</f>
        <v/>
      </c>
      <c r="O40" s="1" t="str">
        <f ca="1">IFERROR(VLOOKUP(DB_TBL_DATA_FIELDS[[#This Row],[FIELD_STATUS_CODE]],DB_TBL_CONFIG_FIELDSTATUSCODES[#All],4,FALSE),"")</f>
        <v/>
      </c>
      <c r="P40" s="1" t="b">
        <f>TRUE</f>
        <v>1</v>
      </c>
      <c r="Q40" s="1" t="b">
        <v>0</v>
      </c>
      <c r="S40" s="1">
        <f>IF(DB_TBL_DATA_FIELDS[[#This Row],[RANGE_VALIDATION_FLAG]]="Text",LEN(DB_TBL_DATA_FIELDS[[#This Row],[FIELD_VALUE_RAW]]),IFERROR(VALUE(DB_TBL_DATA_FIELDS[[#This Row],[FIELD_VALUE_RAW]]),-1))</f>
        <v>0</v>
      </c>
      <c r="V40" s="1" t="b">
        <f>IF(NOT(DB_TBL_DATA_FIELDS[[#This Row],[RANGE_VALIDATION_ON_FLAG]]),TRUE,
AND(DB_TBL_DATA_FIELDS[[#This Row],[RANGE_VALUE_LEN]]&gt;=DB_TBL_DATA_FIELDS[[#This Row],[RANGE_VALIDATION_MIN]],DB_TBL_DATA_FIELDS[[#This Row],[RANGE_VALUE_LEN]]&lt;=DB_TBL_DATA_FIELDS[[#This Row],[RANGE_VALIDATION_MAX]]))</f>
        <v>1</v>
      </c>
      <c r="W40" s="1">
        <v>1</v>
      </c>
      <c r="X40" s="1" t="str">
        <f ca="1">IF(DB_TBL_DATA_FIELDS[[#This Row],[PCT_CALC_SHOW_STATUS_CODE]]=1,
DB_TBL_DATA_FIELDS[[#This Row],[FIELD_STATUS_CODE]],
IF(AND(DB_TBL_DATA_FIELDS[[#This Row],[PCT_CALC_SHOW_STATUS_CODE]]=2,DB_TBL_DATA_FIELDS[[#This Row],[FIELD_STATUS_CODE]]=0),
DB_TBL_DATA_FIELDS[[#This Row],[FIELD_STATUS_CODE]],
"")
)</f>
        <v/>
      </c>
    </row>
    <row r="41" spans="1:26" x14ac:dyDescent="0.2">
      <c r="A41" s="1" t="s">
        <v>2207</v>
      </c>
      <c r="B41" s="16" t="str">
        <f ca="1">IFERROR(IF(FIND(DATA_EFORM_TYPE_CODE,DB_TBL_DATA_FIELDS[[#This Row],[APPLICABLE_EFORM_LIST]])&gt;0,DATA_EFORM_TYPE_CODE,""),"")</f>
        <v>RES</v>
      </c>
      <c r="C41" s="1" t="s">
        <v>2852</v>
      </c>
      <c r="D41" s="1" t="b">
        <v>0</v>
      </c>
      <c r="E41" s="18" t="b">
        <v>0</v>
      </c>
      <c r="F41" s="2" t="s">
        <v>2851</v>
      </c>
      <c r="G41" s="21" t="b">
        <f ca="1">NOT(AND(I36,I37,I38,I39))</f>
        <v>0</v>
      </c>
      <c r="I41" s="2" t="b">
        <f ca="1">(DB_TBL_DATA_FIELDS[[#This Row],[FIELD_VALUE_RAW]]="")</f>
        <v>0</v>
      </c>
      <c r="J41" s="2" t="s">
        <v>9</v>
      </c>
      <c r="K41" s="1" t="b">
        <f>AND(IF(DB_TBL_DATA_FIELDS[[#This Row],[FIELD_VALID_CUSTOM_LOGIC]]="",TRUE,DB_TBL_DATA_FIELDS[[#This Row],[FIELD_VALID_CUSTOM_LOGIC]]),DB_TBL_DATA_FIELDS[[#This Row],[RANGE_VALIDATION_PASSED_FLAG]])</f>
        <v>1</v>
      </c>
      <c r="L41"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FALSE</v>
      </c>
      <c r="M41" s="1">
        <f ca="1">IF(DB_TBL_DATA_FIELDS[[#This Row],[SHEET_REF_CALC]]="","",IF(DB_TBL_DATA_FIELDS[[#This Row],[FIELD_EMPTY_FLAG]],IF(NOT(DB_TBL_DATA_FIELDS[[#This Row],[FIELD_REQ_FLAG]]),-1,1),IF(NOT(DB_TBL_DATA_FIELDS[[#This Row],[FIELD_VALID_FLAG]]),0,2)))</f>
        <v>2</v>
      </c>
      <c r="N41" s="1" t="str">
        <f ca="1">IFERROR(VLOOKUP(DB_TBL_DATA_FIELDS[[#This Row],[FIELD_STATUS_CODE]],DB_TBL_CONFIG_FIELDSTATUSCODES[#All],3,FALSE),"")</f>
        <v>OK</v>
      </c>
      <c r="O41" s="1" t="str">
        <f ca="1">IFERROR(VLOOKUP(DB_TBL_DATA_FIELDS[[#This Row],[FIELD_STATUS_CODE]],DB_TBL_CONFIG_FIELDSTATUSCODES[#All],4,FALSE),"")</f>
        <v>a</v>
      </c>
      <c r="P41" s="1" t="b">
        <f>TRUE</f>
        <v>1</v>
      </c>
      <c r="Q41" s="1" t="b">
        <v>0</v>
      </c>
      <c r="S41" s="1">
        <f ca="1">IF(DB_TBL_DATA_FIELDS[[#This Row],[RANGE_VALIDATION_FLAG]]="Text",LEN(DB_TBL_DATA_FIELDS[[#This Row],[FIELD_VALUE_RAW]]),IFERROR(VALUE(DB_TBL_DATA_FIELDS[[#This Row],[FIELD_VALUE_RAW]]),-1))</f>
        <v>-1</v>
      </c>
      <c r="V41" s="1" t="b">
        <f>IF(NOT(DB_TBL_DATA_FIELDS[[#This Row],[RANGE_VALIDATION_ON_FLAG]]),TRUE,
AND(DB_TBL_DATA_FIELDS[[#This Row],[RANGE_VALUE_LEN]]&gt;=DB_TBL_DATA_FIELDS[[#This Row],[RANGE_VALIDATION_MIN]],DB_TBL_DATA_FIELDS[[#This Row],[RANGE_VALUE_LEN]]&lt;=DB_TBL_DATA_FIELDS[[#This Row],[RANGE_VALIDATION_MAX]]))</f>
        <v>1</v>
      </c>
      <c r="W41" s="1">
        <v>0</v>
      </c>
      <c r="X41" s="1" t="str">
        <f ca="1">IF(DB_TBL_DATA_FIELDS[[#This Row],[PCT_CALC_SHOW_STATUS_CODE]]=1,
DB_TBL_DATA_FIELDS[[#This Row],[FIELD_STATUS_CODE]],
IF(AND(DB_TBL_DATA_FIELDS[[#This Row],[PCT_CALC_SHOW_STATUS_CODE]]=2,DB_TBL_DATA_FIELDS[[#This Row],[FIELD_STATUS_CODE]]=0),
DB_TBL_DATA_FIELDS[[#This Row],[FIELD_STATUS_CODE]],
"")
)</f>
        <v/>
      </c>
      <c r="Y41" s="1"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row>
    <row r="42" spans="1:26" x14ac:dyDescent="0.2">
      <c r="A42" s="1" t="s">
        <v>2207</v>
      </c>
      <c r="B42" s="16" t="str">
        <f ca="1">IFERROR(IF(FIND(DATA_EFORM_TYPE_CODE,DB_TBL_DATA_FIELDS[[#This Row],[APPLICABLE_EFORM_LIST]])&gt;0,DATA_EFORM_TYPE_CODE,""),"")</f>
        <v>RES</v>
      </c>
      <c r="C42" s="1" t="s">
        <v>2278</v>
      </c>
      <c r="D42" s="1" t="b">
        <v>1</v>
      </c>
      <c r="E42" s="18" t="b">
        <v>1</v>
      </c>
      <c r="F42" s="2" t="s">
        <v>2295</v>
      </c>
      <c r="G42" s="2" t="str">
        <f ca="1">IFERROR(VLOOKUP(DB_TBL_DATA_FIELDS[[#This Row],[FIELD_ID]],INDIRECT(DB_TBL_DATA_FIELDS[[#This Row],[SHEET_REF_CALC]]&amp;"!A:B"),2,FALSE),"")</f>
        <v/>
      </c>
      <c r="I42" s="2" t="b">
        <f ca="1">(DB_TBL_DATA_FIELDS[[#This Row],[FIELD_VALUE_RAW]]="")</f>
        <v>1</v>
      </c>
      <c r="J42" s="2" t="s">
        <v>9</v>
      </c>
      <c r="K42" s="1" t="b">
        <f ca="1">AND(IF(DB_TBL_DATA_FIELDS[[#This Row],[FIELD_VALID_CUSTOM_LOGIC]]="",TRUE,DB_TBL_DATA_FIELDS[[#This Row],[FIELD_VALID_CUSTOM_LOGIC]]),DB_TBL_DATA_FIELDS[[#This Row],[RANGE_VALIDATION_PASSED_FLAG]])</f>
        <v>1</v>
      </c>
      <c r="L42"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2" s="1">
        <f ca="1">IF(DB_TBL_DATA_FIELDS[[#This Row],[SHEET_REF_CALC]]="","",IF(DB_TBL_DATA_FIELDS[[#This Row],[FIELD_EMPTY_FLAG]],IF(NOT(DB_TBL_DATA_FIELDS[[#This Row],[FIELD_REQ_FLAG]]),-1,1),IF(NOT(DB_TBL_DATA_FIELDS[[#This Row],[FIELD_VALID_FLAG]]),0,2)))</f>
        <v>1</v>
      </c>
      <c r="N42" s="1" t="str">
        <f ca="1">IFERROR(VLOOKUP(DB_TBL_DATA_FIELDS[[#This Row],[FIELD_STATUS_CODE]],DB_TBL_CONFIG_FIELDSTATUSCODES[#All],3,FALSE),"")</f>
        <v>Required</v>
      </c>
      <c r="O42" s="1" t="str">
        <f ca="1">IFERROR(VLOOKUP(DB_TBL_DATA_FIELDS[[#This Row],[FIELD_STATUS_CODE]],DB_TBL_CONFIG_FIELDSTATUSCODES[#All],4,FALSE),"")</f>
        <v>i</v>
      </c>
      <c r="P42" s="1" t="b">
        <f>TRUE</f>
        <v>1</v>
      </c>
      <c r="Q42" s="1" t="b">
        <f>TRUE</f>
        <v>1</v>
      </c>
      <c r="R42" s="1" t="s">
        <v>9</v>
      </c>
      <c r="S42" s="1">
        <f ca="1">IF(DB_TBL_DATA_FIELDS[[#This Row],[RANGE_VALIDATION_FLAG]]="Text",LEN(DB_TBL_DATA_FIELDS[[#This Row],[FIELD_VALUE_RAW]]),IFERROR(VALUE(DB_TBL_DATA_FIELDS[[#This Row],[FIELD_VALUE_RAW]]),-1))</f>
        <v>0</v>
      </c>
      <c r="T42" s="1">
        <v>0</v>
      </c>
      <c r="U42" s="1">
        <v>75</v>
      </c>
      <c r="V42" s="1" t="b">
        <f ca="1">IF(NOT(DB_TBL_DATA_FIELDS[[#This Row],[RANGE_VALIDATION_ON_FLAG]]),TRUE,
AND(DB_TBL_DATA_FIELDS[[#This Row],[RANGE_VALUE_LEN]]&gt;=DB_TBL_DATA_FIELDS[[#This Row],[RANGE_VALIDATION_MIN]],DB_TBL_DATA_FIELDS[[#This Row],[RANGE_VALUE_LEN]]&lt;=DB_TBL_DATA_FIELDS[[#This Row],[RANGE_VALIDATION_MAX]]))</f>
        <v>1</v>
      </c>
      <c r="W42" s="1">
        <v>1</v>
      </c>
      <c r="X42" s="1">
        <f ca="1">IF(DB_TBL_DATA_FIELDS[[#This Row],[PCT_CALC_SHOW_STATUS_CODE]]=1,
DB_TBL_DATA_FIELDS[[#This Row],[FIELD_STATUS_CODE]],
IF(AND(DB_TBL_DATA_FIELDS[[#This Row],[PCT_CALC_SHOW_STATUS_CODE]]=2,DB_TBL_DATA_FIELDS[[#This Row],[FIELD_STATUS_CODE]]=0),
DB_TBL_DATA_FIELDS[[#This Row],[FIELD_STATUS_CODE]],
"")
)</f>
        <v>1</v>
      </c>
    </row>
    <row r="43" spans="1:26" x14ac:dyDescent="0.2">
      <c r="A43" s="1" t="s">
        <v>2207</v>
      </c>
      <c r="B43" s="16" t="str">
        <f ca="1">IFERROR(IF(FIND(DATA_EFORM_TYPE_CODE,DB_TBL_DATA_FIELDS[[#This Row],[APPLICABLE_EFORM_LIST]])&gt;0,DATA_EFORM_TYPE_CODE,""),"")</f>
        <v>RES</v>
      </c>
      <c r="C43" s="1" t="s">
        <v>2279</v>
      </c>
      <c r="D43" s="1" t="b">
        <v>1</v>
      </c>
      <c r="E43" s="18" t="b">
        <v>1</v>
      </c>
      <c r="F43" s="2" t="s">
        <v>2296</v>
      </c>
      <c r="G43" s="2" t="str">
        <f ca="1">IFERROR(VLOOKUP(DB_TBL_DATA_FIELDS[[#This Row],[FIELD_ID]],INDIRECT(DB_TBL_DATA_FIELDS[[#This Row],[SHEET_REF_CALC]]&amp;"!A:B"),2,FALSE),"")</f>
        <v/>
      </c>
      <c r="I43" s="2" t="b">
        <f ca="1">(DB_TBL_DATA_FIELDS[[#This Row],[FIELD_VALUE_RAW]]="")</f>
        <v>1</v>
      </c>
      <c r="J43" s="2" t="s">
        <v>9</v>
      </c>
      <c r="K43" s="1" t="b">
        <f ca="1">AND(IF(DB_TBL_DATA_FIELDS[[#This Row],[FIELD_VALID_CUSTOM_LOGIC]]="",TRUE,DB_TBL_DATA_FIELDS[[#This Row],[FIELD_VALID_CUSTOM_LOGIC]]),DB_TBL_DATA_FIELDS[[#This Row],[RANGE_VALIDATION_PASSED_FLAG]])</f>
        <v>1</v>
      </c>
      <c r="L43"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3" s="1">
        <f ca="1">IF(DB_TBL_DATA_FIELDS[[#This Row],[SHEET_REF_CALC]]="","",IF(DB_TBL_DATA_FIELDS[[#This Row],[FIELD_EMPTY_FLAG]],IF(NOT(DB_TBL_DATA_FIELDS[[#This Row],[FIELD_REQ_FLAG]]),-1,1),IF(NOT(DB_TBL_DATA_FIELDS[[#This Row],[FIELD_VALID_FLAG]]),0,2)))</f>
        <v>1</v>
      </c>
      <c r="N43" s="1" t="str">
        <f ca="1">IFERROR(VLOOKUP(DB_TBL_DATA_FIELDS[[#This Row],[FIELD_STATUS_CODE]],DB_TBL_CONFIG_FIELDSTATUSCODES[#All],3,FALSE),"")</f>
        <v>Required</v>
      </c>
      <c r="O43" s="1" t="str">
        <f ca="1">IFERROR(VLOOKUP(DB_TBL_DATA_FIELDS[[#This Row],[FIELD_STATUS_CODE]],DB_TBL_CONFIG_FIELDSTATUSCODES[#All],4,FALSE),"")</f>
        <v>i</v>
      </c>
      <c r="P43" s="1" t="b">
        <f>TRUE</f>
        <v>1</v>
      </c>
      <c r="Q43" s="1" t="b">
        <f>TRUE</f>
        <v>1</v>
      </c>
      <c r="R43" s="1" t="s">
        <v>9</v>
      </c>
      <c r="S43" s="1">
        <f ca="1">IF(DB_TBL_DATA_FIELDS[[#This Row],[RANGE_VALIDATION_FLAG]]="Text",LEN(DB_TBL_DATA_FIELDS[[#This Row],[FIELD_VALUE_RAW]]),IFERROR(VALUE(DB_TBL_DATA_FIELDS[[#This Row],[FIELD_VALUE_RAW]]),-1))</f>
        <v>0</v>
      </c>
      <c r="T43" s="1">
        <v>0</v>
      </c>
      <c r="U43" s="1">
        <v>30</v>
      </c>
      <c r="V43" s="1" t="b">
        <f ca="1">IF(NOT(DB_TBL_DATA_FIELDS[[#This Row],[RANGE_VALIDATION_ON_FLAG]]),TRUE,
AND(DB_TBL_DATA_FIELDS[[#This Row],[RANGE_VALUE_LEN]]&gt;=DB_TBL_DATA_FIELDS[[#This Row],[RANGE_VALIDATION_MIN]],DB_TBL_DATA_FIELDS[[#This Row],[RANGE_VALUE_LEN]]&lt;=DB_TBL_DATA_FIELDS[[#This Row],[RANGE_VALIDATION_MAX]]))</f>
        <v>1</v>
      </c>
      <c r="W43" s="1">
        <v>1</v>
      </c>
      <c r="X43" s="1">
        <f ca="1">IF(DB_TBL_DATA_FIELDS[[#This Row],[PCT_CALC_SHOW_STATUS_CODE]]=1,
DB_TBL_DATA_FIELDS[[#This Row],[FIELD_STATUS_CODE]],
IF(AND(DB_TBL_DATA_FIELDS[[#This Row],[PCT_CALC_SHOW_STATUS_CODE]]=2,DB_TBL_DATA_FIELDS[[#This Row],[FIELD_STATUS_CODE]]=0),
DB_TBL_DATA_FIELDS[[#This Row],[FIELD_STATUS_CODE]],
"")
)</f>
        <v>1</v>
      </c>
    </row>
    <row r="44" spans="1:26" x14ac:dyDescent="0.2">
      <c r="A44" s="1" t="s">
        <v>2207</v>
      </c>
      <c r="B44" s="16" t="str">
        <f ca="1">IFERROR(IF(FIND(DATA_EFORM_TYPE_CODE,DB_TBL_DATA_FIELDS[[#This Row],[APPLICABLE_EFORM_LIST]])&gt;0,DATA_EFORM_TYPE_CODE,""),"")</f>
        <v>RES</v>
      </c>
      <c r="C44" s="1" t="s">
        <v>2280</v>
      </c>
      <c r="D44" s="1" t="b">
        <v>1</v>
      </c>
      <c r="E44" s="18" t="b">
        <v>1</v>
      </c>
      <c r="F44" s="2" t="s">
        <v>2297</v>
      </c>
      <c r="G44" s="21" t="str">
        <f ca="1">UPPER(IFERROR(VLOOKUP(DB_TBL_DATA_FIELDS[[#This Row],[FIELD_ID]],INDIRECT(DB_TBL_DATA_FIELDS[[#This Row],[SHEET_REF_CALC]]&amp;"!A:B"),2,FALSE),""))</f>
        <v/>
      </c>
      <c r="I44" s="2" t="b">
        <f ca="1">(DB_TBL_DATA_FIELDS[[#This Row],[FIELD_VALUE_RAW]]="")</f>
        <v>1</v>
      </c>
      <c r="J44" s="2" t="s">
        <v>9</v>
      </c>
      <c r="K44" s="1" t="b">
        <f ca="1">AND(IF(DB_TBL_DATA_FIELDS[[#This Row],[FIELD_VALID_CUSTOM_LOGIC]]="",TRUE,DB_TBL_DATA_FIELDS[[#This Row],[FIELD_VALID_CUSTOM_LOGIC]]),DB_TBL_DATA_FIELDS[[#This Row],[RANGE_VALIDATION_PASSED_FLAG]])</f>
        <v>1</v>
      </c>
      <c r="L44"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4" s="1">
        <f ca="1">IF(DB_TBL_DATA_FIELDS[[#This Row],[SHEET_REF_CALC]]="","",IF(DB_TBL_DATA_FIELDS[[#This Row],[FIELD_EMPTY_FLAG]],IF(NOT(DB_TBL_DATA_FIELDS[[#This Row],[FIELD_REQ_FLAG]]),-1,1),IF(NOT(DB_TBL_DATA_FIELDS[[#This Row],[FIELD_VALID_FLAG]]),0,2)))</f>
        <v>1</v>
      </c>
      <c r="N44" s="1" t="str">
        <f ca="1">IFERROR(VLOOKUP(DB_TBL_DATA_FIELDS[[#This Row],[FIELD_STATUS_CODE]],DB_TBL_CONFIG_FIELDSTATUSCODES[#All],3,FALSE),"")</f>
        <v>Required</v>
      </c>
      <c r="O44" s="1" t="str">
        <f ca="1">IFERROR(VLOOKUP(DB_TBL_DATA_FIELDS[[#This Row],[FIELD_STATUS_CODE]],DB_TBL_CONFIG_FIELDSTATUSCODES[#All],4,FALSE),"")</f>
        <v>i</v>
      </c>
      <c r="P44" s="1" t="b">
        <f>TRUE</f>
        <v>1</v>
      </c>
      <c r="Q44" s="1" t="b">
        <f>TRUE</f>
        <v>1</v>
      </c>
      <c r="R44" s="1" t="s">
        <v>9</v>
      </c>
      <c r="S44" s="1">
        <f ca="1">IF(DB_TBL_DATA_FIELDS[[#This Row],[RANGE_VALIDATION_FLAG]]="Text",LEN(DB_TBL_DATA_FIELDS[[#This Row],[FIELD_VALUE_RAW]]),IFERROR(VALUE(DB_TBL_DATA_FIELDS[[#This Row],[FIELD_VALUE_RAW]]),-1))</f>
        <v>0</v>
      </c>
      <c r="T44" s="1">
        <v>0</v>
      </c>
      <c r="U44" s="1">
        <v>2</v>
      </c>
      <c r="V44" s="1" t="b">
        <f ca="1">IF(NOT(DB_TBL_DATA_FIELDS[[#This Row],[RANGE_VALIDATION_ON_FLAG]]),TRUE,
AND(DB_TBL_DATA_FIELDS[[#This Row],[RANGE_VALUE_LEN]]&gt;=DB_TBL_DATA_FIELDS[[#This Row],[RANGE_VALIDATION_MIN]],DB_TBL_DATA_FIELDS[[#This Row],[RANGE_VALUE_LEN]]&lt;=DB_TBL_DATA_FIELDS[[#This Row],[RANGE_VALIDATION_MAX]]))</f>
        <v>1</v>
      </c>
      <c r="W44" s="1">
        <v>1</v>
      </c>
      <c r="X44" s="1">
        <f ca="1">IF(DB_TBL_DATA_FIELDS[[#This Row],[PCT_CALC_SHOW_STATUS_CODE]]=1,
DB_TBL_DATA_FIELDS[[#This Row],[FIELD_STATUS_CODE]],
IF(AND(DB_TBL_DATA_FIELDS[[#This Row],[PCT_CALC_SHOW_STATUS_CODE]]=2,DB_TBL_DATA_FIELDS[[#This Row],[FIELD_STATUS_CODE]]=0),
DB_TBL_DATA_FIELDS[[#This Row],[FIELD_STATUS_CODE]],
"")
)</f>
        <v>1</v>
      </c>
    </row>
    <row r="45" spans="1:26" x14ac:dyDescent="0.2">
      <c r="A45" s="1" t="s">
        <v>2207</v>
      </c>
      <c r="B45" s="16" t="str">
        <f ca="1">IFERROR(IF(FIND(DATA_EFORM_TYPE_CODE,DB_TBL_DATA_FIELDS[[#This Row],[APPLICABLE_EFORM_LIST]])&gt;0,DATA_EFORM_TYPE_CODE,""),"")</f>
        <v>RES</v>
      </c>
      <c r="C45" s="1" t="s">
        <v>2281</v>
      </c>
      <c r="D45" s="1" t="b">
        <v>1</v>
      </c>
      <c r="E45" s="18" t="b">
        <v>1</v>
      </c>
      <c r="F45" s="2" t="s">
        <v>2298</v>
      </c>
      <c r="G45" s="2" t="str">
        <f ca="1">IFERROR(VLOOKUP(DB_TBL_DATA_FIELDS[[#This Row],[FIELD_ID]],INDIRECT(DB_TBL_DATA_FIELDS[[#This Row],[SHEET_REF_CALC]]&amp;"!A:B"),2,FALSE),"")</f>
        <v/>
      </c>
      <c r="H45" s="21" t="b">
        <f ca="1">NOT(LEFT(DB_TBL_DATA_FIELDS[[#This Row],[FIELD_VALUE_RAW]],1)="-")</f>
        <v>1</v>
      </c>
      <c r="I45" s="2" t="b">
        <f ca="1">(DB_TBL_DATA_FIELDS[[#This Row],[FIELD_VALUE_RAW]]="")</f>
        <v>1</v>
      </c>
      <c r="J45" s="2" t="s">
        <v>9</v>
      </c>
      <c r="K45" s="1" t="b">
        <f ca="1">AND(IF(DB_TBL_DATA_FIELDS[[#This Row],[FIELD_VALID_CUSTOM_LOGIC]]="",TRUE,DB_TBL_DATA_FIELDS[[#This Row],[FIELD_VALID_CUSTOM_LOGIC]]),DB_TBL_DATA_FIELDS[[#This Row],[RANGE_VALIDATION_PASSED_FLAG]])</f>
        <v>0</v>
      </c>
      <c r="L45"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5" s="1">
        <f ca="1">IF(DB_TBL_DATA_FIELDS[[#This Row],[SHEET_REF_CALC]]="","",IF(DB_TBL_DATA_FIELDS[[#This Row],[FIELD_EMPTY_FLAG]],IF(NOT(DB_TBL_DATA_FIELDS[[#This Row],[FIELD_REQ_FLAG]]),-1,1),IF(NOT(DB_TBL_DATA_FIELDS[[#This Row],[FIELD_VALID_FLAG]]),0,2)))</f>
        <v>1</v>
      </c>
      <c r="N45" s="1" t="str">
        <f ca="1">IFERROR(VLOOKUP(DB_TBL_DATA_FIELDS[[#This Row],[FIELD_STATUS_CODE]],DB_TBL_CONFIG_FIELDSTATUSCODES[#All],3,FALSE),"")</f>
        <v>Required</v>
      </c>
      <c r="O45" s="1" t="str">
        <f ca="1">IFERROR(VLOOKUP(DB_TBL_DATA_FIELDS[[#This Row],[FIELD_STATUS_CODE]],DB_TBL_CONFIG_FIELDSTATUSCODES[#All],4,FALSE),"")</f>
        <v>i</v>
      </c>
      <c r="P45" s="1" t="b">
        <f>TRUE</f>
        <v>1</v>
      </c>
      <c r="Q45" s="1" t="b">
        <f>TRUE</f>
        <v>1</v>
      </c>
      <c r="R45" s="1" t="s">
        <v>9</v>
      </c>
      <c r="S45" s="1">
        <f ca="1">IF(DB_TBL_DATA_FIELDS[[#This Row],[RANGE_VALIDATION_FLAG]]="Text",LEN(DB_TBL_DATA_FIELDS[[#This Row],[FIELD_VALUE_RAW]]),IFERROR(VALUE(DB_TBL_DATA_FIELDS[[#This Row],[FIELD_VALUE_RAW]]),-1))</f>
        <v>0</v>
      </c>
      <c r="T45" s="1">
        <v>5</v>
      </c>
      <c r="U45" s="1">
        <v>10</v>
      </c>
      <c r="V45" s="1" t="b">
        <f ca="1">IF(NOT(DB_TBL_DATA_FIELDS[[#This Row],[RANGE_VALIDATION_ON_FLAG]]),TRUE,
AND(DB_TBL_DATA_FIELDS[[#This Row],[RANGE_VALUE_LEN]]&gt;=DB_TBL_DATA_FIELDS[[#This Row],[RANGE_VALIDATION_MIN]],DB_TBL_DATA_FIELDS[[#This Row],[RANGE_VALUE_LEN]]&lt;=DB_TBL_DATA_FIELDS[[#This Row],[RANGE_VALIDATION_MAX]]))</f>
        <v>0</v>
      </c>
      <c r="W45" s="1">
        <v>1</v>
      </c>
      <c r="X45" s="1">
        <f ca="1">IF(DB_TBL_DATA_FIELDS[[#This Row],[PCT_CALC_SHOW_STATUS_CODE]]=1,
DB_TBL_DATA_FIELDS[[#This Row],[FIELD_STATUS_CODE]],
IF(AND(DB_TBL_DATA_FIELDS[[#This Row],[PCT_CALC_SHOW_STATUS_CODE]]=2,DB_TBL_DATA_FIELDS[[#This Row],[FIELD_STATUS_CODE]]=0),
DB_TBL_DATA_FIELDS[[#This Row],[FIELD_STATUS_CODE]],
"")
)</f>
        <v>1</v>
      </c>
    </row>
    <row r="46" spans="1:26" x14ac:dyDescent="0.2">
      <c r="A46" s="1" t="s">
        <v>2207</v>
      </c>
      <c r="B46" s="16" t="str">
        <f ca="1">IFERROR(IF(FIND(DATA_EFORM_TYPE_CODE,DB_TBL_DATA_FIELDS[[#This Row],[APPLICABLE_EFORM_LIST]])&gt;0,DATA_EFORM_TYPE_CODE,""),"")</f>
        <v>RES</v>
      </c>
      <c r="C46" s="1" t="s">
        <v>2282</v>
      </c>
      <c r="D46" s="1" t="b">
        <v>1</v>
      </c>
      <c r="E46" s="18" t="b">
        <v>1</v>
      </c>
      <c r="F46" s="2" t="s">
        <v>2299</v>
      </c>
      <c r="G46" s="21" t="str">
        <f ca="1">IFERROR(VLOOKUP(VLOOKUP(DB_TBL_DATA_FIELDS[[#This Row],[FIELD_ID]],INDIRECT(DB_TBL_DATA_FIELDS[[#This Row],[SHEET_REF_CALC]]&amp;"!A:B"),2,FALSE),COUNTY_LIST_ALLUSA,1,FALSE),"")</f>
        <v/>
      </c>
      <c r="H46" s="21" t="str">
        <f ca="1">IF(DB_TBL_DATA_FIELDS[[#This Row],[FIELD_VALUE_RAW]]="","",IFERROR(MATCH(UPPER(G44&amp;"_"&amp;DB_TBL_DATA_FIELDS[[#This Row],[FIELD_VALUE_RAW]]),'$DB.LOOKUP'!S:S,0),0)&gt;0)</f>
        <v/>
      </c>
      <c r="I46" s="2" t="b">
        <f ca="1">(DB_TBL_DATA_FIELDS[[#This Row],[FIELD_VALUE_RAW]]="")</f>
        <v>1</v>
      </c>
      <c r="J46" s="2" t="s">
        <v>9</v>
      </c>
      <c r="K46" s="1" t="b">
        <f ca="1">AND(IF(DB_TBL_DATA_FIELDS[[#This Row],[FIELD_VALID_CUSTOM_LOGIC]]="",TRUE,DB_TBL_DATA_FIELDS[[#This Row],[FIELD_VALID_CUSTOM_LOGIC]]),DB_TBL_DATA_FIELDS[[#This Row],[RANGE_VALIDATION_PASSED_FLAG]])</f>
        <v>1</v>
      </c>
      <c r="L46"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6" s="1">
        <f ca="1">IF(DB_TBL_DATA_FIELDS[[#This Row],[SHEET_REF_CALC]]="","",IF(DB_TBL_DATA_FIELDS[[#This Row],[FIELD_EMPTY_FLAG]],IF(NOT(DB_TBL_DATA_FIELDS[[#This Row],[FIELD_REQ_FLAG]]),-1,1),IF(NOT(DB_TBL_DATA_FIELDS[[#This Row],[FIELD_VALID_FLAG]]),0,2)))</f>
        <v>1</v>
      </c>
      <c r="N46" s="1" t="str">
        <f ca="1">IFERROR(VLOOKUP(DB_TBL_DATA_FIELDS[[#This Row],[FIELD_STATUS_CODE]],DB_TBL_CONFIG_FIELDSTATUSCODES[#All],3,FALSE),"")</f>
        <v>Required</v>
      </c>
      <c r="O46" s="1" t="str">
        <f ca="1">IFERROR(VLOOKUP(DB_TBL_DATA_FIELDS[[#This Row],[FIELD_STATUS_CODE]],DB_TBL_CONFIG_FIELDSTATUSCODES[#All],4,FALSE),"")</f>
        <v>i</v>
      </c>
      <c r="P46" s="1" t="b">
        <f>TRUE</f>
        <v>1</v>
      </c>
      <c r="Q46" s="1" t="b">
        <f>TRUE</f>
        <v>1</v>
      </c>
      <c r="R46" s="1" t="s">
        <v>9</v>
      </c>
      <c r="S46" s="1">
        <f ca="1">IF(DB_TBL_DATA_FIELDS[[#This Row],[RANGE_VALIDATION_FLAG]]="Text",LEN(DB_TBL_DATA_FIELDS[[#This Row],[FIELD_VALUE_RAW]]),IFERROR(VALUE(DB_TBL_DATA_FIELDS[[#This Row],[FIELD_VALUE_RAW]]),-1))</f>
        <v>0</v>
      </c>
      <c r="T46" s="1">
        <v>0</v>
      </c>
      <c r="U46" s="1">
        <v>50</v>
      </c>
      <c r="V46" s="1" t="b">
        <f ca="1">IF(NOT(DB_TBL_DATA_FIELDS[[#This Row],[RANGE_VALIDATION_ON_FLAG]]),TRUE,
AND(DB_TBL_DATA_FIELDS[[#This Row],[RANGE_VALUE_LEN]]&gt;=DB_TBL_DATA_FIELDS[[#This Row],[RANGE_VALIDATION_MIN]],DB_TBL_DATA_FIELDS[[#This Row],[RANGE_VALUE_LEN]]&lt;=DB_TBL_DATA_FIELDS[[#This Row],[RANGE_VALIDATION_MAX]]))</f>
        <v>1</v>
      </c>
      <c r="W46" s="1">
        <v>1</v>
      </c>
      <c r="X46" s="1">
        <f ca="1">IF(DB_TBL_DATA_FIELDS[[#This Row],[PCT_CALC_SHOW_STATUS_CODE]]=1,
DB_TBL_DATA_FIELDS[[#This Row],[FIELD_STATUS_CODE]],
IF(AND(DB_TBL_DATA_FIELDS[[#This Row],[PCT_CALC_SHOW_STATUS_CODE]]=2,DB_TBL_DATA_FIELDS[[#This Row],[FIELD_STATUS_CODE]]=0),
DB_TBL_DATA_FIELDS[[#This Row],[FIELD_STATUS_CODE]],
"")
)</f>
        <v>1</v>
      </c>
    </row>
    <row r="47" spans="1:26" x14ac:dyDescent="0.2">
      <c r="A47" s="1" t="s">
        <v>2207</v>
      </c>
      <c r="B47" s="16" t="str">
        <f ca="1">IFERROR(IF(FIND(DATA_EFORM_TYPE_CODE,DB_TBL_DATA_FIELDS[[#This Row],[APPLICABLE_EFORM_LIST]])&gt;0,DATA_EFORM_TYPE_CODE,""),"")</f>
        <v>RES</v>
      </c>
      <c r="C47" s="1" t="s">
        <v>2283</v>
      </c>
      <c r="D47" s="1" t="b">
        <v>1</v>
      </c>
      <c r="E47" s="18" t="b">
        <v>0</v>
      </c>
      <c r="F47" s="2" t="s">
        <v>2300</v>
      </c>
      <c r="G47" s="2" t="str">
        <f ca="1">IFERROR(VLOOKUP(DB_TBL_DATA_FIELDS[[#This Row],[FIELD_ID]],INDIRECT(DB_TBL_DATA_FIELDS[[#This Row],[SHEET_REF_CALC]]&amp;"!A:B"),2,FALSE),"")</f>
        <v/>
      </c>
      <c r="I47" s="2" t="b">
        <f ca="1">(DB_TBL_DATA_FIELDS[[#This Row],[FIELD_VALUE_RAW]]="")</f>
        <v>1</v>
      </c>
      <c r="J47" s="2" t="s">
        <v>39</v>
      </c>
      <c r="K47" s="1" t="b">
        <f ca="1">AND(IF(DB_TBL_DATA_FIELDS[[#This Row],[FIELD_VALID_CUSTOM_LOGIC]]="",TRUE,DB_TBL_DATA_FIELDS[[#This Row],[FIELD_VALID_CUSTOM_LOGIC]]),DB_TBL_DATA_FIELDS[[#This Row],[RANGE_VALIDATION_PASSED_FLAG]])</f>
        <v>0</v>
      </c>
      <c r="L4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7" s="1">
        <f ca="1">IF(DB_TBL_DATA_FIELDS[[#This Row],[SHEET_REF_CALC]]="","",IF(DB_TBL_DATA_FIELDS[[#This Row],[FIELD_EMPTY_FLAG]],IF(NOT(DB_TBL_DATA_FIELDS[[#This Row],[FIELD_REQ_FLAG]]),-1,1),IF(NOT(DB_TBL_DATA_FIELDS[[#This Row],[FIELD_VALID_FLAG]]),0,2)))</f>
        <v>-1</v>
      </c>
      <c r="N47" s="1" t="str">
        <f ca="1">IFERROR(VLOOKUP(DB_TBL_DATA_FIELDS[[#This Row],[FIELD_STATUS_CODE]],DB_TBL_CONFIG_FIELDSTATUSCODES[#All],3,FALSE),"")</f>
        <v>Optional</v>
      </c>
      <c r="O47" s="1" t="str">
        <f ca="1">IFERROR(VLOOKUP(DB_TBL_DATA_FIELDS[[#This Row],[FIELD_STATUS_CODE]],DB_TBL_CONFIG_FIELDSTATUSCODES[#All],4,FALSE),"")</f>
        <v xml:space="preserve"> </v>
      </c>
      <c r="P47" s="1" t="b">
        <f>TRUE</f>
        <v>1</v>
      </c>
      <c r="Q47" s="1" t="b">
        <f>TRUE</f>
        <v>1</v>
      </c>
      <c r="R47" s="1" t="s">
        <v>39</v>
      </c>
      <c r="S47" s="1">
        <f ca="1">IF(DB_TBL_DATA_FIELDS[[#This Row],[RANGE_VALIDATION_FLAG]]="Text",LEN(DB_TBL_DATA_FIELDS[[#This Row],[FIELD_VALUE_RAW]]),IFERROR(VALUE(DB_TBL_DATA_FIELDS[[#This Row],[FIELD_VALUE_RAW]]),-1))</f>
        <v>-1</v>
      </c>
      <c r="T47" s="1">
        <v>1</v>
      </c>
      <c r="U47" s="1">
        <v>99999</v>
      </c>
      <c r="V47" s="1" t="b">
        <f ca="1">IF(NOT(DB_TBL_DATA_FIELDS[[#This Row],[RANGE_VALIDATION_ON_FLAG]]),TRUE,
AND(DB_TBL_DATA_FIELDS[[#This Row],[RANGE_VALUE_LEN]]&gt;=DB_TBL_DATA_FIELDS[[#This Row],[RANGE_VALIDATION_MIN]],DB_TBL_DATA_FIELDS[[#This Row],[RANGE_VALUE_LEN]]&lt;=DB_TBL_DATA_FIELDS[[#This Row],[RANGE_VALIDATION_MAX]]))</f>
        <v>0</v>
      </c>
      <c r="W47" s="1">
        <v>1</v>
      </c>
      <c r="X47" s="1">
        <f ca="1">IF(DB_TBL_DATA_FIELDS[[#This Row],[PCT_CALC_SHOW_STATUS_CODE]]=1,
DB_TBL_DATA_FIELDS[[#This Row],[FIELD_STATUS_CODE]],
IF(AND(DB_TBL_DATA_FIELDS[[#This Row],[PCT_CALC_SHOW_STATUS_CODE]]=2,DB_TBL_DATA_FIELDS[[#This Row],[FIELD_STATUS_CODE]]=0),
DB_TBL_DATA_FIELDS[[#This Row],[FIELD_STATUS_CODE]],
"")
)</f>
        <v>-1</v>
      </c>
    </row>
    <row r="48" spans="1:26" ht="13.5" thickBot="1" x14ac:dyDescent="0.25">
      <c r="A48" s="104" t="s">
        <v>2207</v>
      </c>
      <c r="B48" s="108" t="str">
        <f ca="1">IFERROR(IF(FIND(DATA_EFORM_TYPE_CODE,DB_TBL_DATA_FIELDS[[#This Row],[APPLICABLE_EFORM_LIST]])&gt;0,DATA_EFORM_TYPE_CODE,""),"")</f>
        <v>RES</v>
      </c>
      <c r="C48" s="104" t="s">
        <v>2284</v>
      </c>
      <c r="D48" s="104" t="b">
        <v>1</v>
      </c>
      <c r="E48" s="105" t="b">
        <v>1</v>
      </c>
      <c r="F48" s="106" t="s">
        <v>2301</v>
      </c>
      <c r="G48" s="106" t="str">
        <f ca="1">IFERROR(VLOOKUP(DB_TBL_DATA_FIELDS[[#This Row],[FIELD_ID]],INDIRECT(DB_TBL_DATA_FIELDS[[#This Row],[SHEET_REF_CALC]]&amp;"!A:B"),2,FALSE),"")</f>
        <v/>
      </c>
      <c r="H48" s="106"/>
      <c r="I48" s="106" t="b">
        <f ca="1">(DB_TBL_DATA_FIELDS[[#This Row],[FIELD_VALUE_RAW]]="")</f>
        <v>1</v>
      </c>
      <c r="J48" s="106" t="s">
        <v>9</v>
      </c>
      <c r="K48" s="104" t="b">
        <f ca="1">AND(IF(DB_TBL_DATA_FIELDS[[#This Row],[FIELD_VALID_CUSTOM_LOGIC]]="",TRUE,DB_TBL_DATA_FIELDS[[#This Row],[FIELD_VALID_CUSTOM_LOGIC]]),DB_TBL_DATA_FIELDS[[#This Row],[RANGE_VALIDATION_PASSED_FLAG]])</f>
        <v>0</v>
      </c>
      <c r="L48" s="1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8" s="104">
        <f ca="1">IF(DB_TBL_DATA_FIELDS[[#This Row],[SHEET_REF_CALC]]="","",IF(DB_TBL_DATA_FIELDS[[#This Row],[FIELD_EMPTY_FLAG]],IF(NOT(DB_TBL_DATA_FIELDS[[#This Row],[FIELD_REQ_FLAG]]),-1,1),IF(NOT(DB_TBL_DATA_FIELDS[[#This Row],[FIELD_VALID_FLAG]]),0,2)))</f>
        <v>1</v>
      </c>
      <c r="N48" s="104" t="str">
        <f ca="1">IFERROR(VLOOKUP(DB_TBL_DATA_FIELDS[[#This Row],[FIELD_STATUS_CODE]],DB_TBL_CONFIG_FIELDSTATUSCODES[#All],3,FALSE),"")</f>
        <v>Required</v>
      </c>
      <c r="O48" s="104" t="str">
        <f ca="1">IFERROR(VLOOKUP(DB_TBL_DATA_FIELDS[[#This Row],[FIELD_STATUS_CODE]],DB_TBL_CONFIG_FIELDSTATUSCODES[#All],4,FALSE),"")</f>
        <v>i</v>
      </c>
      <c r="P48" s="104" t="b">
        <f>TRUE</f>
        <v>1</v>
      </c>
      <c r="Q48" s="104" t="b">
        <f>TRUE</f>
        <v>1</v>
      </c>
      <c r="R48" s="104" t="s">
        <v>9</v>
      </c>
      <c r="S48" s="104">
        <f ca="1">IF(DB_TBL_DATA_FIELDS[[#This Row],[RANGE_VALIDATION_FLAG]]="Text",LEN(DB_TBL_DATA_FIELDS[[#This Row],[FIELD_VALUE_RAW]]),IFERROR(VALUE(DB_TBL_DATA_FIELDS[[#This Row],[FIELD_VALUE_RAW]]),-1))</f>
        <v>0</v>
      </c>
      <c r="T48" s="104">
        <v>7</v>
      </c>
      <c r="U48" s="104">
        <v>7</v>
      </c>
      <c r="V48" s="104" t="b">
        <f ca="1">IF(NOT(DB_TBL_DATA_FIELDS[[#This Row],[RANGE_VALIDATION_ON_FLAG]]),TRUE,
AND(DB_TBL_DATA_FIELDS[[#This Row],[RANGE_VALUE_LEN]]&gt;=DB_TBL_DATA_FIELDS[[#This Row],[RANGE_VALIDATION_MIN]],DB_TBL_DATA_FIELDS[[#This Row],[RANGE_VALUE_LEN]]&lt;=DB_TBL_DATA_FIELDS[[#This Row],[RANGE_VALIDATION_MAX]]))</f>
        <v>0</v>
      </c>
      <c r="W48" s="104">
        <v>1</v>
      </c>
      <c r="X48" s="104">
        <f ca="1">IF(DB_TBL_DATA_FIELDS[[#This Row],[PCT_CALC_SHOW_STATUS_CODE]]=1,
DB_TBL_DATA_FIELDS[[#This Row],[FIELD_STATUS_CODE]],
IF(AND(DB_TBL_DATA_FIELDS[[#This Row],[PCT_CALC_SHOW_STATUS_CODE]]=2,DB_TBL_DATA_FIELDS[[#This Row],[FIELD_STATUS_CODE]]=0),
DB_TBL_DATA_FIELDS[[#This Row],[FIELD_STATUS_CODE]],
"")
)</f>
        <v>1</v>
      </c>
      <c r="Y48" s="104"/>
      <c r="Z48" s="104"/>
    </row>
    <row r="49" spans="1:26" x14ac:dyDescent="0.2">
      <c r="A49" s="1" t="s">
        <v>2612</v>
      </c>
      <c r="B49" s="16" t="str">
        <f ca="1">IFERROR(IF(FIND(DATA_EFORM_TYPE_CODE,DB_TBL_DATA_FIELDS[[#This Row],[APPLICABLE_EFORM_LIST]])&gt;0,DATA_EFORM_TYPE_CODE,""),"")</f>
        <v>RES</v>
      </c>
      <c r="C49" s="1" t="s">
        <v>2309</v>
      </c>
      <c r="D49" s="1" t="b">
        <v>1</v>
      </c>
      <c r="E49" s="18" t="b">
        <v>1</v>
      </c>
      <c r="F49" s="2" t="s">
        <v>2313</v>
      </c>
      <c r="G49" s="2" t="str">
        <f ca="1">IFERROR(VLOOKUP(DB_TBL_DATA_FIELDS[[#This Row],[FIELD_ID]],INDIRECT(DB_TBL_DATA_FIELDS[[#This Row],[SHEET_REF_CALC]]&amp;"!A:B"),2,FALSE),"")</f>
        <v/>
      </c>
      <c r="H49" s="21" t="str">
        <f ca="1">IF(DB_TBL_DATA_FIELDS[[#This Row],[FIELD_EMPTY_FLAG]],"",DB_TBL_DATA_FIELDS[[#This Row],[FIELD_VALUE_RAW]]&lt;=CONFIG_GRANT_AMT_MAX)</f>
        <v/>
      </c>
      <c r="I49" s="2" t="b">
        <f ca="1">(DB_TBL_DATA_FIELDS[[#This Row],[FIELD_VALUE_RAW]]="")</f>
        <v>1</v>
      </c>
      <c r="J49" s="2" t="s">
        <v>39</v>
      </c>
      <c r="K49" s="1" t="b">
        <f ca="1">AND(IF(DB_TBL_DATA_FIELDS[[#This Row],[FIELD_VALID_CUSTOM_LOGIC]]="",TRUE,DB_TBL_DATA_FIELDS[[#This Row],[FIELD_VALID_CUSTOM_LOGIC]]),DB_TBL_DATA_FIELDS[[#This Row],[RANGE_VALIDATION_PASSED_FLAG]])</f>
        <v>0</v>
      </c>
      <c r="L49"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9" s="1">
        <f ca="1">IF(DB_TBL_DATA_FIELDS[[#This Row],[SHEET_REF_CALC]]="","",IF(DB_TBL_DATA_FIELDS[[#This Row],[FIELD_EMPTY_FLAG]],IF(NOT(DB_TBL_DATA_FIELDS[[#This Row],[FIELD_REQ_FLAG]]),-1,1),IF(NOT(DB_TBL_DATA_FIELDS[[#This Row],[FIELD_VALID_FLAG]]),0,2)))</f>
        <v>1</v>
      </c>
      <c r="N49" s="1" t="str">
        <f ca="1">IFERROR(VLOOKUP(DB_TBL_DATA_FIELDS[[#This Row],[FIELD_STATUS_CODE]],DB_TBL_CONFIG_FIELDSTATUSCODES[#All],3,FALSE),"")</f>
        <v>Required</v>
      </c>
      <c r="O49" s="1" t="str">
        <f ca="1">IFERROR(VLOOKUP(DB_TBL_DATA_FIELDS[[#This Row],[FIELD_STATUS_CODE]],DB_TBL_CONFIG_FIELDSTATUSCODES[#All],4,FALSE),"")</f>
        <v>i</v>
      </c>
      <c r="P49" s="1" t="b">
        <f>TRUE</f>
        <v>1</v>
      </c>
      <c r="Q49" s="1" t="b">
        <f>TRUE</f>
        <v>1</v>
      </c>
      <c r="R49" s="1" t="s">
        <v>39</v>
      </c>
      <c r="S49" s="1">
        <f ca="1">IF(DB_TBL_DATA_FIELDS[[#This Row],[RANGE_VALIDATION_FLAG]]="Text",LEN(DB_TBL_DATA_FIELDS[[#This Row],[FIELD_VALUE_RAW]]),IFERROR(VALUE(DB_TBL_DATA_FIELDS[[#This Row],[FIELD_VALUE_RAW]]),-1))</f>
        <v>-1</v>
      </c>
      <c r="T49" s="1">
        <v>1</v>
      </c>
      <c r="U49" s="118">
        <f>CONFIG_GRANT_AMT_MAX</f>
        <v>9500</v>
      </c>
      <c r="V49" s="1" t="b">
        <f ca="1">IF(NOT(DB_TBL_DATA_FIELDS[[#This Row],[RANGE_VALIDATION_ON_FLAG]]),TRUE,
AND(DB_TBL_DATA_FIELDS[[#This Row],[RANGE_VALUE_LEN]]&gt;=DB_TBL_DATA_FIELDS[[#This Row],[RANGE_VALIDATION_MIN]],DB_TBL_DATA_FIELDS[[#This Row],[RANGE_VALUE_LEN]]&lt;=DB_TBL_DATA_FIELDS[[#This Row],[RANGE_VALIDATION_MAX]]))</f>
        <v>0</v>
      </c>
      <c r="W49" s="1">
        <v>1</v>
      </c>
      <c r="X49" s="1">
        <f ca="1">IF(DB_TBL_DATA_FIELDS[[#This Row],[PCT_CALC_SHOW_STATUS_CODE]]=1,
DB_TBL_DATA_FIELDS[[#This Row],[FIELD_STATUS_CODE]],
IF(AND(DB_TBL_DATA_FIELDS[[#This Row],[PCT_CALC_SHOW_STATUS_CODE]]=2,DB_TBL_DATA_FIELDS[[#This Row],[FIELD_STATUS_CODE]]=0),
DB_TBL_DATA_FIELDS[[#This Row],[FIELD_STATUS_CODE]],
"")
)</f>
        <v>1</v>
      </c>
    </row>
    <row r="50" spans="1:26" x14ac:dyDescent="0.2">
      <c r="A50" s="1" t="s">
        <v>2612</v>
      </c>
      <c r="B50" s="16" t="str">
        <f ca="1">IFERROR(IF(FIND(DATA_EFORM_TYPE_CODE,DB_TBL_DATA_FIELDS[[#This Row],[APPLICABLE_EFORM_LIST]])&gt;0,DATA_EFORM_TYPE_CODE,""),"")</f>
        <v>RES</v>
      </c>
      <c r="C50" s="1" t="s">
        <v>2310</v>
      </c>
      <c r="D50" s="1" t="b">
        <v>1</v>
      </c>
      <c r="E50" s="18" t="b">
        <v>1</v>
      </c>
      <c r="F50" s="2" t="s">
        <v>2314</v>
      </c>
      <c r="G50" s="2" t="str">
        <f ca="1">IFERROR(VLOOKUP(DB_TBL_DATA_FIELDS[[#This Row],[FIELD_ID]],INDIRECT(DB_TBL_DATA_FIELDS[[#This Row],[SHEET_REF_CALC]]&amp;"!A:B"),2,FALSE),"")</f>
        <v/>
      </c>
      <c r="H50" s="21" t="str">
        <f ca="1">IF(DB_TBL_DATA_FIELDS[[#This Row],[FIELD_EMPTY_FLAG]],"",DB_TBL_DATA_FIELDS[[#This Row],[FIELD_VALUE_RAW]]&lt;=CONFIG_COUNSEL_AMT_MAX)</f>
        <v/>
      </c>
      <c r="I50" s="2" t="b">
        <f ca="1">(DB_TBL_DATA_FIELDS[[#This Row],[FIELD_VALUE_RAW]]="")</f>
        <v>1</v>
      </c>
      <c r="J50" s="2" t="s">
        <v>39</v>
      </c>
      <c r="K50" s="1" t="b">
        <f ca="1">AND(IF(DB_TBL_DATA_FIELDS[[#This Row],[FIELD_VALID_CUSTOM_LOGIC]]="",TRUE,DB_TBL_DATA_FIELDS[[#This Row],[FIELD_VALID_CUSTOM_LOGIC]]),DB_TBL_DATA_FIELDS[[#This Row],[RANGE_VALIDATION_PASSED_FLAG]])</f>
        <v>0</v>
      </c>
      <c r="L50"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0" s="1">
        <f ca="1">IF(DB_TBL_DATA_FIELDS[[#This Row],[SHEET_REF_CALC]]="","",IF(DB_TBL_DATA_FIELDS[[#This Row],[FIELD_EMPTY_FLAG]],IF(NOT(DB_TBL_DATA_FIELDS[[#This Row],[FIELD_REQ_FLAG]]),-1,1),IF(NOT(DB_TBL_DATA_FIELDS[[#This Row],[FIELD_VALID_FLAG]]),0,2)))</f>
        <v>1</v>
      </c>
      <c r="N50" s="1" t="str">
        <f ca="1">IFERROR(VLOOKUP(DB_TBL_DATA_FIELDS[[#This Row],[FIELD_STATUS_CODE]],DB_TBL_CONFIG_FIELDSTATUSCODES[#All],3,FALSE),"")</f>
        <v>Required</v>
      </c>
      <c r="O50" s="1" t="str">
        <f ca="1">IFERROR(VLOOKUP(DB_TBL_DATA_FIELDS[[#This Row],[FIELD_STATUS_CODE]],DB_TBL_CONFIG_FIELDSTATUSCODES[#All],4,FALSE),"")</f>
        <v>i</v>
      </c>
      <c r="P50" s="1" t="b">
        <f>TRUE</f>
        <v>1</v>
      </c>
      <c r="Q50" s="1" t="b">
        <f>TRUE</f>
        <v>1</v>
      </c>
      <c r="R50" s="1" t="s">
        <v>39</v>
      </c>
      <c r="S50" s="1">
        <f ca="1">IF(DB_TBL_DATA_FIELDS[[#This Row],[RANGE_VALIDATION_FLAG]]="Text",LEN(DB_TBL_DATA_FIELDS[[#This Row],[FIELD_VALUE_RAW]]),IFERROR(VALUE(DB_TBL_DATA_FIELDS[[#This Row],[FIELD_VALUE_RAW]]),-1))</f>
        <v>-1</v>
      </c>
      <c r="T50" s="1">
        <v>0</v>
      </c>
      <c r="U50" s="118">
        <f>CONFIG_COUNSEL_AMT_MAX</f>
        <v>500</v>
      </c>
      <c r="V50" s="1" t="b">
        <f ca="1">IF(NOT(DB_TBL_DATA_FIELDS[[#This Row],[RANGE_VALIDATION_ON_FLAG]]),TRUE,
AND(DB_TBL_DATA_FIELDS[[#This Row],[RANGE_VALUE_LEN]]&gt;=DB_TBL_DATA_FIELDS[[#This Row],[RANGE_VALIDATION_MIN]],DB_TBL_DATA_FIELDS[[#This Row],[RANGE_VALUE_LEN]]&lt;=DB_TBL_DATA_FIELDS[[#This Row],[RANGE_VALIDATION_MAX]]))</f>
        <v>0</v>
      </c>
      <c r="W50" s="1">
        <v>1</v>
      </c>
      <c r="X50" s="1">
        <f ca="1">IF(DB_TBL_DATA_FIELDS[[#This Row],[PCT_CALC_SHOW_STATUS_CODE]]=1,
DB_TBL_DATA_FIELDS[[#This Row],[FIELD_STATUS_CODE]],
IF(AND(DB_TBL_DATA_FIELDS[[#This Row],[PCT_CALC_SHOW_STATUS_CODE]]=2,DB_TBL_DATA_FIELDS[[#This Row],[FIELD_STATUS_CODE]]=0),
DB_TBL_DATA_FIELDS[[#This Row],[FIELD_STATUS_CODE]],
"")
)</f>
        <v>1</v>
      </c>
    </row>
    <row r="51" spans="1:26" x14ac:dyDescent="0.2">
      <c r="A51" s="1" t="s">
        <v>2612</v>
      </c>
      <c r="B51" s="16" t="str">
        <f ca="1">IFERROR(IF(FIND(DATA_EFORM_TYPE_CODE,DB_TBL_DATA_FIELDS[[#This Row],[APPLICABLE_EFORM_LIST]])&gt;0,DATA_EFORM_TYPE_CODE,""),"")</f>
        <v>RES</v>
      </c>
      <c r="C51" s="1" t="s">
        <v>2311</v>
      </c>
      <c r="D51" s="1" t="b">
        <v>1</v>
      </c>
      <c r="E51" s="18" t="b">
        <v>1</v>
      </c>
      <c r="F51" s="2" t="s">
        <v>2315</v>
      </c>
      <c r="G51" s="21">
        <f ca="1">SUM(G49:G50)</f>
        <v>0</v>
      </c>
      <c r="H51" s="21" t="b">
        <f ca="1">IF(DB_TBL_DATA_FIELDS[[#This Row],[FIELD_EMPTY_FLAG]],"",DB_TBL_DATA_FIELDS[[#This Row],[FIELD_VALUE_RAW]]&lt;=(CONFIG_GRANT_AMT_MAX+CONFIG_COUNSEL_AMT_MAX))</f>
        <v>1</v>
      </c>
      <c r="I51" s="2" t="b">
        <f ca="1">(DB_TBL_DATA_FIELDS[[#This Row],[FIELD_VALUE_RAW]]="")</f>
        <v>0</v>
      </c>
      <c r="J51" s="2" t="s">
        <v>39</v>
      </c>
      <c r="K51" s="1" t="b">
        <f ca="1">AND(IF(DB_TBL_DATA_FIELDS[[#This Row],[FIELD_VALID_CUSTOM_LOGIC]]="",TRUE,DB_TBL_DATA_FIELDS[[#This Row],[FIELD_VALID_CUSTOM_LOGIC]]),DB_TBL_DATA_FIELDS[[#This Row],[RANGE_VALIDATION_PASSED_FLAG]])</f>
        <v>1</v>
      </c>
      <c r="L51" s="2">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0</v>
      </c>
      <c r="M51" s="1">
        <f ca="1">IF(DB_TBL_DATA_FIELDS[[#This Row],[SHEET_REF_CALC]]="","",IF(DB_TBL_DATA_FIELDS[[#This Row],[FIELD_EMPTY_FLAG]],IF(NOT(DB_TBL_DATA_FIELDS[[#This Row],[FIELD_REQ_FLAG]]),-1,1),IF(NOT(DB_TBL_DATA_FIELDS[[#This Row],[FIELD_VALID_FLAG]]),0,2)))</f>
        <v>2</v>
      </c>
      <c r="N51" s="1" t="str">
        <f ca="1">IFERROR(VLOOKUP(DB_TBL_DATA_FIELDS[[#This Row],[FIELD_STATUS_CODE]],DB_TBL_CONFIG_FIELDSTATUSCODES[#All],3,FALSE),"")</f>
        <v>OK</v>
      </c>
      <c r="O51" s="1" t="str">
        <f ca="1">IFERROR(VLOOKUP(DB_TBL_DATA_FIELDS[[#This Row],[FIELD_STATUS_CODE]],DB_TBL_CONFIG_FIELDSTATUSCODES[#All],4,FALSE),"")</f>
        <v>a</v>
      </c>
      <c r="P51" s="1" t="b">
        <f>TRUE</f>
        <v>1</v>
      </c>
      <c r="Q51" s="1" t="b">
        <f>TRUE</f>
        <v>1</v>
      </c>
      <c r="R51" s="1" t="s">
        <v>39</v>
      </c>
      <c r="S51" s="1">
        <f ca="1">IF(DB_TBL_DATA_FIELDS[[#This Row],[RANGE_VALIDATION_FLAG]]="Text",LEN(DB_TBL_DATA_FIELDS[[#This Row],[FIELD_VALUE_RAW]]),IFERROR(VALUE(DB_TBL_DATA_FIELDS[[#This Row],[FIELD_VALUE_RAW]]),-1))</f>
        <v>0</v>
      </c>
      <c r="U51" s="118">
        <f>SUM(CONFIG_GRANT_AMT_MAX,CONFIG_COUNSEL_AMT_MAX)</f>
        <v>10000</v>
      </c>
      <c r="V51" s="1" t="b">
        <f ca="1">IF(NOT(DB_TBL_DATA_FIELDS[[#This Row],[RANGE_VALIDATION_ON_FLAG]]),TRUE,
AND(DB_TBL_DATA_FIELDS[[#This Row],[RANGE_VALUE_LEN]]&gt;=DB_TBL_DATA_FIELDS[[#This Row],[RANGE_VALIDATION_MIN]],DB_TBL_DATA_FIELDS[[#This Row],[RANGE_VALUE_LEN]]&lt;=DB_TBL_DATA_FIELDS[[#This Row],[RANGE_VALIDATION_MAX]]))</f>
        <v>1</v>
      </c>
      <c r="W51" s="1">
        <v>2</v>
      </c>
      <c r="X51" s="1" t="str">
        <f ca="1">IF(DB_TBL_DATA_FIELDS[[#This Row],[PCT_CALC_SHOW_STATUS_CODE]]=1,
DB_TBL_DATA_FIELDS[[#This Row],[FIELD_STATUS_CODE]],
IF(AND(DB_TBL_DATA_FIELDS[[#This Row],[PCT_CALC_SHOW_STATUS_CODE]]=2,DB_TBL_DATA_FIELDS[[#This Row],[FIELD_STATUS_CODE]]=0),
DB_TBL_DATA_FIELDS[[#This Row],[FIELD_STATUS_CODE]],
"")
)</f>
        <v/>
      </c>
      <c r="Y51" s="16" t="str">
        <f ca="1">IF(DB_TBL_DATA_FIELDS[[#This Row],[FIELD_STATUS_CODE]]=0,IF(NOT(DB_TBL_DATA_FIELDS[[#This Row],[FIELD_VALID_CUSTOM_LOGIC]]),"Exceeds Maximum Allowable Grant Amount",""),"")</f>
        <v/>
      </c>
    </row>
    <row r="52" spans="1:26" ht="13.5" thickBot="1" x14ac:dyDescent="0.25">
      <c r="A52" s="104" t="s">
        <v>2245</v>
      </c>
      <c r="B52" s="108" t="str">
        <f ca="1">IFERROR(IF(FIND(DATA_EFORM_TYPE_CODE,DB_TBL_DATA_FIELDS[[#This Row],[APPLICABLE_EFORM_LIST]])&gt;0,DATA_EFORM_TYPE_CODE,""),"")</f>
        <v>RES</v>
      </c>
      <c r="C52" s="104" t="s">
        <v>2377</v>
      </c>
      <c r="D52" s="104" t="b">
        <v>1</v>
      </c>
      <c r="E52" s="105" t="b">
        <v>0</v>
      </c>
      <c r="F52" s="106" t="s">
        <v>2378</v>
      </c>
      <c r="G52" s="106" t="str">
        <f ca="1">IFERROR(VLOOKUP(DB_TBL_DATA_FIELDS[[#This Row],[FIELD_ID]],INDIRECT(DB_TBL_DATA_FIELDS[[#This Row],[SHEET_REF_CALC]]&amp;"!A:B"),2,FALSE),"")</f>
        <v/>
      </c>
      <c r="H52" s="106"/>
      <c r="I52" s="106" t="b">
        <f ca="1">(DB_TBL_DATA_FIELDS[[#This Row],[FIELD_VALUE_RAW]]="")</f>
        <v>1</v>
      </c>
      <c r="J52" s="106" t="s">
        <v>140</v>
      </c>
      <c r="K52" s="104" t="b">
        <f>AND(IF(DB_TBL_DATA_FIELDS[[#This Row],[FIELD_VALID_CUSTOM_LOGIC]]="",TRUE,DB_TBL_DATA_FIELDS[[#This Row],[FIELD_VALID_CUSTOM_LOGIC]]),DB_TBL_DATA_FIELDS[[#This Row],[RANGE_VALIDATION_PASSED_FLAG]])</f>
        <v>1</v>
      </c>
      <c r="L52" s="1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2" s="104">
        <f ca="1">IF(DB_TBL_DATA_FIELDS[[#This Row],[SHEET_REF_CALC]]="","",IF(DB_TBL_DATA_FIELDS[[#This Row],[FIELD_EMPTY_FLAG]],IF(NOT(DB_TBL_DATA_FIELDS[[#This Row],[FIELD_REQ_FLAG]]),-1,1),IF(NOT(DB_TBL_DATA_FIELDS[[#This Row],[FIELD_VALID_FLAG]]),0,2)))</f>
        <v>-1</v>
      </c>
      <c r="N52" s="104" t="str">
        <f ca="1">IFERROR(VLOOKUP(DB_TBL_DATA_FIELDS[[#This Row],[FIELD_STATUS_CODE]],DB_TBL_CONFIG_FIELDSTATUSCODES[#All],3,FALSE),"")</f>
        <v>Optional</v>
      </c>
      <c r="O52" s="104" t="str">
        <f ca="1">IFERROR(VLOOKUP(DB_TBL_DATA_FIELDS[[#This Row],[FIELD_STATUS_CODE]],DB_TBL_CONFIG_FIELDSTATUSCODES[#All],4,FALSE),"")</f>
        <v xml:space="preserve"> </v>
      </c>
      <c r="P52" s="104" t="b">
        <f>TRUE</f>
        <v>1</v>
      </c>
      <c r="Q52" s="104" t="b">
        <v>0</v>
      </c>
      <c r="R52" s="104"/>
      <c r="S52" s="104">
        <f ca="1">IF(DB_TBL_DATA_FIELDS[[#This Row],[RANGE_VALIDATION_FLAG]]="Text",LEN(DB_TBL_DATA_FIELDS[[#This Row],[FIELD_VALUE_RAW]]),IFERROR(VALUE(DB_TBL_DATA_FIELDS[[#This Row],[FIELD_VALUE_RAW]]),-1))</f>
        <v>-1</v>
      </c>
      <c r="T52" s="104"/>
      <c r="U52" s="104"/>
      <c r="V52" s="104" t="b">
        <f>IF(NOT(DB_TBL_DATA_FIELDS[[#This Row],[RANGE_VALIDATION_ON_FLAG]]),TRUE,
AND(DB_TBL_DATA_FIELDS[[#This Row],[RANGE_VALUE_LEN]]&gt;=DB_TBL_DATA_FIELDS[[#This Row],[RANGE_VALIDATION_MIN]],DB_TBL_DATA_FIELDS[[#This Row],[RANGE_VALUE_LEN]]&lt;=DB_TBL_DATA_FIELDS[[#This Row],[RANGE_VALIDATION_MAX]]))</f>
        <v>1</v>
      </c>
      <c r="W52" s="104">
        <v>1</v>
      </c>
      <c r="X52" s="104">
        <f ca="1">IF(DB_TBL_DATA_FIELDS[[#This Row],[PCT_CALC_SHOW_STATUS_CODE]]=1,
DB_TBL_DATA_FIELDS[[#This Row],[FIELD_STATUS_CODE]],
IF(AND(DB_TBL_DATA_FIELDS[[#This Row],[PCT_CALC_SHOW_STATUS_CODE]]=2,DB_TBL_DATA_FIELDS[[#This Row],[FIELD_STATUS_CODE]]=0),
DB_TBL_DATA_FIELDS[[#This Row],[FIELD_STATUS_CODE]],
"")
)</f>
        <v>-1</v>
      </c>
      <c r="Y52" s="104"/>
      <c r="Z52" s="104"/>
    </row>
    <row r="53" spans="1:26" x14ac:dyDescent="0.2">
      <c r="A53" s="1" t="s">
        <v>2897</v>
      </c>
      <c r="B53" s="16" t="str">
        <f ca="1">IFERROR(IF(FIND(DATA_EFORM_TYPE_CODE,DB_TBL_DATA_FIELDS[[#This Row],[APPLICABLE_EFORM_LIST]])&gt;0,DATA_EFORM_TYPE_CODE,""),"")</f>
        <v>RES</v>
      </c>
      <c r="C53" s="1" t="s">
        <v>2319</v>
      </c>
      <c r="D53" s="1" t="b">
        <v>1</v>
      </c>
      <c r="E53" s="84" t="b">
        <f ca="1">IF(DB_TBL_DATA_FIELDS[[#This Row],[SHEET_REF_CALC]]="RES",TRUE,DATA_ADL_ICW_FLAG=TRUE)</f>
        <v>1</v>
      </c>
      <c r="F53" s="2" t="s">
        <v>2326</v>
      </c>
      <c r="G53" s="2" t="str">
        <f ca="1">IFERROR(VLOOKUP(DB_TBL_DATA_FIELDS[[#This Row],[FIELD_ID]],INDIRECT(DB_TBL_DATA_FIELDS[[#This Row],[SHEET_REF_CALC]]&amp;"!A:B"),2,FALSE),"")</f>
        <v/>
      </c>
      <c r="H53" s="21" t="str">
        <f ca="1">IF(DB_TBL_DATA_FIELDS[[#This Row],[FIELD_EMPTY_FLAG]],"",DB_TBL_DATA_FIELDS[[#This Row],[FIELD_REQ_FLAG]])</f>
        <v/>
      </c>
      <c r="I53" s="2" t="b">
        <f ca="1">(DB_TBL_DATA_FIELDS[[#This Row],[FIELD_VALUE_RAW]]="")</f>
        <v>1</v>
      </c>
      <c r="J53" s="2" t="s">
        <v>9</v>
      </c>
      <c r="K53" s="1" t="b">
        <f ca="1">AND(IF(DB_TBL_DATA_FIELDS[[#This Row],[FIELD_VALID_CUSTOM_LOGIC]]="",TRUE,DB_TBL_DATA_FIELDS[[#This Row],[FIELD_VALID_CUSTOM_LOGIC]]),DB_TBL_DATA_FIELDS[[#This Row],[RANGE_VALIDATION_PASSED_FLAG]])</f>
        <v>1</v>
      </c>
      <c r="L53"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3" s="1">
        <f ca="1">IF(DB_TBL_DATA_FIELDS[[#This Row],[SHEET_REF_CALC]]="","",IF(DB_TBL_DATA_FIELDS[[#This Row],[FIELD_EMPTY_FLAG]],IF(NOT(DB_TBL_DATA_FIELDS[[#This Row],[FIELD_REQ_FLAG]]),-1,1),IF(NOT(DB_TBL_DATA_FIELDS[[#This Row],[FIELD_VALID_FLAG]]),0,2)))</f>
        <v>1</v>
      </c>
      <c r="N53" s="1" t="str">
        <f ca="1">IFERROR(VLOOKUP(DB_TBL_DATA_FIELDS[[#This Row],[FIELD_STATUS_CODE]],DB_TBL_CONFIG_FIELDSTATUSCODES[#All],3,FALSE),"")</f>
        <v>Required</v>
      </c>
      <c r="O53" s="1" t="str">
        <f ca="1">IFERROR(VLOOKUP(DB_TBL_DATA_FIELDS[[#This Row],[FIELD_STATUS_CODE]],DB_TBL_CONFIG_FIELDSTATUSCODES[#All],4,FALSE),"")</f>
        <v>i</v>
      </c>
      <c r="P53" s="1" t="b">
        <f>TRUE</f>
        <v>1</v>
      </c>
      <c r="Q53" s="1" t="b">
        <f>TRUE</f>
        <v>1</v>
      </c>
      <c r="R53" s="1" t="s">
        <v>9</v>
      </c>
      <c r="S53" s="1">
        <f ca="1">IF(DB_TBL_DATA_FIELDS[[#This Row],[RANGE_VALIDATION_FLAG]]="Text",LEN(DB_TBL_DATA_FIELDS[[#This Row],[FIELD_VALUE_RAW]]),IFERROR(VALUE(DB_TBL_DATA_FIELDS[[#This Row],[FIELD_VALUE_RAW]]),-1))</f>
        <v>0</v>
      </c>
      <c r="T53" s="1">
        <v>0</v>
      </c>
      <c r="U53" s="1">
        <v>75</v>
      </c>
      <c r="V53" s="1" t="b">
        <f ca="1">IF(NOT(DB_TBL_DATA_FIELDS[[#This Row],[RANGE_VALIDATION_ON_FLAG]]),TRUE,
AND(DB_TBL_DATA_FIELDS[[#This Row],[RANGE_VALUE_LEN]]&gt;=DB_TBL_DATA_FIELDS[[#This Row],[RANGE_VALIDATION_MIN]],DB_TBL_DATA_FIELDS[[#This Row],[RANGE_VALUE_LEN]]&lt;=DB_TBL_DATA_FIELDS[[#This Row],[RANGE_VALIDATION_MAX]]))</f>
        <v>1</v>
      </c>
      <c r="W53" s="1">
        <v>1</v>
      </c>
      <c r="X53" s="1">
        <f ca="1">IF(DB_TBL_DATA_FIELDS[[#This Row],[PCT_CALC_SHOW_STATUS_CODE]]=1,
DB_TBL_DATA_FIELDS[[#This Row],[FIELD_STATUS_CODE]],
IF(AND(DB_TBL_DATA_FIELDS[[#This Row],[PCT_CALC_SHOW_STATUS_CODE]]=2,DB_TBL_DATA_FIELDS[[#This Row],[FIELD_STATUS_CODE]]=0),
DB_TBL_DATA_FIELDS[[#This Row],[FIELD_STATUS_CODE]],
"")
)</f>
        <v>1</v>
      </c>
    </row>
    <row r="54" spans="1:26" x14ac:dyDescent="0.2">
      <c r="A54" s="1" t="s">
        <v>2897</v>
      </c>
      <c r="B54" s="16" t="str">
        <f ca="1">IFERROR(IF(FIND(DATA_EFORM_TYPE_CODE,DB_TBL_DATA_FIELDS[[#This Row],[APPLICABLE_EFORM_LIST]])&gt;0,DATA_EFORM_TYPE_CODE,""),"")</f>
        <v>RES</v>
      </c>
      <c r="C54" s="1" t="s">
        <v>2320</v>
      </c>
      <c r="D54" s="1" t="b">
        <v>1</v>
      </c>
      <c r="E54" s="84" t="b">
        <f ca="1">IF(DB_TBL_DATA_FIELDS[[#This Row],[SHEET_REF_CALC]]="RES",TRUE,DATA_ADL_ICW_FLAG=TRUE)</f>
        <v>1</v>
      </c>
      <c r="F54" s="2" t="s">
        <v>2327</v>
      </c>
      <c r="G54" s="2" t="str">
        <f ca="1">IFERROR(VLOOKUP(DB_TBL_DATA_FIELDS[[#This Row],[FIELD_ID]],INDIRECT(DB_TBL_DATA_FIELDS[[#This Row],[SHEET_REF_CALC]]&amp;"!A:B"),2,FALSE),"")</f>
        <v/>
      </c>
      <c r="H54" s="21" t="str">
        <f ca="1">IF(DB_TBL_DATA_FIELDS[[#This Row],[FIELD_EMPTY_FLAG]],"",DB_TBL_DATA_FIELDS[[#This Row],[FIELD_REQ_FLAG]])</f>
        <v/>
      </c>
      <c r="I54" s="2" t="b">
        <f ca="1">(DB_TBL_DATA_FIELDS[[#This Row],[FIELD_VALUE_RAW]]="")</f>
        <v>1</v>
      </c>
      <c r="J54" s="2" t="s">
        <v>9</v>
      </c>
      <c r="K54" s="1" t="b">
        <f ca="1">AND(IF(DB_TBL_DATA_FIELDS[[#This Row],[FIELD_VALID_CUSTOM_LOGIC]]="",TRUE,DB_TBL_DATA_FIELDS[[#This Row],[FIELD_VALID_CUSTOM_LOGIC]]),DB_TBL_DATA_FIELDS[[#This Row],[RANGE_VALIDATION_PASSED_FLAG]])</f>
        <v>1</v>
      </c>
      <c r="L54"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4" s="1">
        <f ca="1">IF(DB_TBL_DATA_FIELDS[[#This Row],[SHEET_REF_CALC]]="","",IF(DB_TBL_DATA_FIELDS[[#This Row],[FIELD_EMPTY_FLAG]],IF(NOT(DB_TBL_DATA_FIELDS[[#This Row],[FIELD_REQ_FLAG]]),-1,1),IF(NOT(DB_TBL_DATA_FIELDS[[#This Row],[FIELD_VALID_FLAG]]),0,2)))</f>
        <v>1</v>
      </c>
      <c r="N54" s="1" t="str">
        <f ca="1">IFERROR(VLOOKUP(DB_TBL_DATA_FIELDS[[#This Row],[FIELD_STATUS_CODE]],DB_TBL_CONFIG_FIELDSTATUSCODES[#All],3,FALSE),"")</f>
        <v>Required</v>
      </c>
      <c r="O54" s="1" t="str">
        <f ca="1">IFERROR(VLOOKUP(DB_TBL_DATA_FIELDS[[#This Row],[FIELD_STATUS_CODE]],DB_TBL_CONFIG_FIELDSTATUSCODES[#All],4,FALSE),"")</f>
        <v>i</v>
      </c>
      <c r="P54" s="1" t="b">
        <f>TRUE</f>
        <v>1</v>
      </c>
      <c r="Q54" s="1" t="b">
        <f>TRUE</f>
        <v>1</v>
      </c>
      <c r="R54" s="1" t="s">
        <v>9</v>
      </c>
      <c r="S54" s="1">
        <f ca="1">IF(DB_TBL_DATA_FIELDS[[#This Row],[RANGE_VALIDATION_FLAG]]="Text",LEN(DB_TBL_DATA_FIELDS[[#This Row],[FIELD_VALUE_RAW]]),IFERROR(VALUE(DB_TBL_DATA_FIELDS[[#This Row],[FIELD_VALUE_RAW]]),-1))</f>
        <v>0</v>
      </c>
      <c r="T54" s="1">
        <v>0</v>
      </c>
      <c r="U54" s="1">
        <v>30</v>
      </c>
      <c r="V54" s="1" t="b">
        <f ca="1">IF(NOT(DB_TBL_DATA_FIELDS[[#This Row],[RANGE_VALIDATION_ON_FLAG]]),TRUE,
AND(DB_TBL_DATA_FIELDS[[#This Row],[RANGE_VALUE_LEN]]&gt;=DB_TBL_DATA_FIELDS[[#This Row],[RANGE_VALIDATION_MIN]],DB_TBL_DATA_FIELDS[[#This Row],[RANGE_VALUE_LEN]]&lt;=DB_TBL_DATA_FIELDS[[#This Row],[RANGE_VALIDATION_MAX]]))</f>
        <v>1</v>
      </c>
      <c r="W54" s="1">
        <v>1</v>
      </c>
      <c r="X54" s="1">
        <f ca="1">IF(DB_TBL_DATA_FIELDS[[#This Row],[PCT_CALC_SHOW_STATUS_CODE]]=1,
DB_TBL_DATA_FIELDS[[#This Row],[FIELD_STATUS_CODE]],
IF(AND(DB_TBL_DATA_FIELDS[[#This Row],[PCT_CALC_SHOW_STATUS_CODE]]=2,DB_TBL_DATA_FIELDS[[#This Row],[FIELD_STATUS_CODE]]=0),
DB_TBL_DATA_FIELDS[[#This Row],[FIELD_STATUS_CODE]],
"")
)</f>
        <v>1</v>
      </c>
    </row>
    <row r="55" spans="1:26" x14ac:dyDescent="0.2">
      <c r="A55" s="1" t="s">
        <v>2897</v>
      </c>
      <c r="B55" s="16" t="str">
        <f ca="1">IFERROR(IF(FIND(DATA_EFORM_TYPE_CODE,DB_TBL_DATA_FIELDS[[#This Row],[APPLICABLE_EFORM_LIST]])&gt;0,DATA_EFORM_TYPE_CODE,""),"")</f>
        <v>RES</v>
      </c>
      <c r="C55" s="1" t="s">
        <v>2321</v>
      </c>
      <c r="D55" s="1" t="b">
        <v>1</v>
      </c>
      <c r="E55" s="84" t="b">
        <f ca="1">IF(DB_TBL_DATA_FIELDS[[#This Row],[SHEET_REF_CALC]]="RES",TRUE,DATA_ADL_ICW_FLAG=TRUE)</f>
        <v>1</v>
      </c>
      <c r="F55" s="2" t="s">
        <v>2328</v>
      </c>
      <c r="G55" s="21" t="str">
        <f ca="1">UPPER(IFERROR(VLOOKUP(DB_TBL_DATA_FIELDS[[#This Row],[FIELD_ID]],INDIRECT(DB_TBL_DATA_FIELDS[[#This Row],[SHEET_REF_CALC]]&amp;"!A:B"),2,FALSE),""))</f>
        <v/>
      </c>
      <c r="H55" s="21" t="str">
        <f ca="1">IF(DB_TBL_DATA_FIELDS[[#This Row],[FIELD_EMPTY_FLAG]],"",DB_TBL_DATA_FIELDS[[#This Row],[FIELD_REQ_FLAG]])</f>
        <v/>
      </c>
      <c r="I55" s="2" t="b">
        <f ca="1">(DB_TBL_DATA_FIELDS[[#This Row],[FIELD_VALUE_RAW]]="")</f>
        <v>1</v>
      </c>
      <c r="J55" s="2" t="s">
        <v>9</v>
      </c>
      <c r="K55" s="1" t="b">
        <f ca="1">AND(IF(DB_TBL_DATA_FIELDS[[#This Row],[FIELD_VALID_CUSTOM_LOGIC]]="",TRUE,DB_TBL_DATA_FIELDS[[#This Row],[FIELD_VALID_CUSTOM_LOGIC]]),DB_TBL_DATA_FIELDS[[#This Row],[RANGE_VALIDATION_PASSED_FLAG]])</f>
        <v>1</v>
      </c>
      <c r="L55"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5" s="1">
        <f ca="1">IF(DB_TBL_DATA_FIELDS[[#This Row],[SHEET_REF_CALC]]="","",IF(DB_TBL_DATA_FIELDS[[#This Row],[FIELD_EMPTY_FLAG]],IF(NOT(DB_TBL_DATA_FIELDS[[#This Row],[FIELD_REQ_FLAG]]),-1,1),IF(NOT(DB_TBL_DATA_FIELDS[[#This Row],[FIELD_VALID_FLAG]]),0,2)))</f>
        <v>1</v>
      </c>
      <c r="N55" s="1" t="str">
        <f ca="1">IFERROR(VLOOKUP(DB_TBL_DATA_FIELDS[[#This Row],[FIELD_STATUS_CODE]],DB_TBL_CONFIG_FIELDSTATUSCODES[#All],3,FALSE),"")</f>
        <v>Required</v>
      </c>
      <c r="O55" s="1" t="str">
        <f ca="1">IFERROR(VLOOKUP(DB_TBL_DATA_FIELDS[[#This Row],[FIELD_STATUS_CODE]],DB_TBL_CONFIG_FIELDSTATUSCODES[#All],4,FALSE),"")</f>
        <v>i</v>
      </c>
      <c r="P55" s="1" t="b">
        <f>TRUE</f>
        <v>1</v>
      </c>
      <c r="Q55" s="1" t="b">
        <f>TRUE</f>
        <v>1</v>
      </c>
      <c r="R55" s="1" t="s">
        <v>9</v>
      </c>
      <c r="S55" s="1">
        <f ca="1">IF(DB_TBL_DATA_FIELDS[[#This Row],[RANGE_VALIDATION_FLAG]]="Text",LEN(DB_TBL_DATA_FIELDS[[#This Row],[FIELD_VALUE_RAW]]),IFERROR(VALUE(DB_TBL_DATA_FIELDS[[#This Row],[FIELD_VALUE_RAW]]),-1))</f>
        <v>0</v>
      </c>
      <c r="T55" s="1">
        <v>0</v>
      </c>
      <c r="U55" s="1">
        <v>2</v>
      </c>
      <c r="V55" s="1" t="b">
        <f ca="1">IF(NOT(DB_TBL_DATA_FIELDS[[#This Row],[RANGE_VALIDATION_ON_FLAG]]),TRUE,
AND(DB_TBL_DATA_FIELDS[[#This Row],[RANGE_VALUE_LEN]]&gt;=DB_TBL_DATA_FIELDS[[#This Row],[RANGE_VALIDATION_MIN]],DB_TBL_DATA_FIELDS[[#This Row],[RANGE_VALUE_LEN]]&lt;=DB_TBL_DATA_FIELDS[[#This Row],[RANGE_VALIDATION_MAX]]))</f>
        <v>1</v>
      </c>
      <c r="W55" s="1">
        <v>1</v>
      </c>
      <c r="X55" s="1">
        <f ca="1">IF(DB_TBL_DATA_FIELDS[[#This Row],[PCT_CALC_SHOW_STATUS_CODE]]=1,
DB_TBL_DATA_FIELDS[[#This Row],[FIELD_STATUS_CODE]],
IF(AND(DB_TBL_DATA_FIELDS[[#This Row],[PCT_CALC_SHOW_STATUS_CODE]]=2,DB_TBL_DATA_FIELDS[[#This Row],[FIELD_STATUS_CODE]]=0),
DB_TBL_DATA_FIELDS[[#This Row],[FIELD_STATUS_CODE]],
"")
)</f>
        <v>1</v>
      </c>
    </row>
    <row r="56" spans="1:26" x14ac:dyDescent="0.2">
      <c r="A56" s="1" t="s">
        <v>2897</v>
      </c>
      <c r="B56" s="16" t="str">
        <f ca="1">IFERROR(IF(FIND(DATA_EFORM_TYPE_CODE,DB_TBL_DATA_FIELDS[[#This Row],[APPLICABLE_EFORM_LIST]])&gt;0,DATA_EFORM_TYPE_CODE,""),"")</f>
        <v>RES</v>
      </c>
      <c r="C56" s="1" t="s">
        <v>2322</v>
      </c>
      <c r="D56" s="1" t="b">
        <v>1</v>
      </c>
      <c r="E56" s="84" t="b">
        <f ca="1">IF(DB_TBL_DATA_FIELDS[[#This Row],[SHEET_REF_CALC]]="RES",TRUE,DATA_ADL_ICW_FLAG=TRUE)</f>
        <v>1</v>
      </c>
      <c r="F56" s="2" t="s">
        <v>2329</v>
      </c>
      <c r="G56" s="2" t="str">
        <f ca="1">IFERROR(VLOOKUP(DB_TBL_DATA_FIELDS[[#This Row],[FIELD_ID]],INDIRECT(DB_TBL_DATA_FIELDS[[#This Row],[SHEET_REF_CALC]]&amp;"!A:B"),2,FALSE),"")</f>
        <v/>
      </c>
      <c r="H56" s="21" t="str">
        <f ca="1">IF(DB_TBL_DATA_FIELDS[[#This Row],[FIELD_EMPTY_FLAG]],"",DB_TBL_DATA_FIELDS[[#This Row],[FIELD_REQ_FLAG]])</f>
        <v/>
      </c>
      <c r="I56" s="2" t="b">
        <f ca="1">(DB_TBL_DATA_FIELDS[[#This Row],[FIELD_VALUE_RAW]]="")</f>
        <v>1</v>
      </c>
      <c r="J56" s="2" t="s">
        <v>9</v>
      </c>
      <c r="K56" s="1" t="b">
        <f ca="1">AND(IF(DB_TBL_DATA_FIELDS[[#This Row],[FIELD_VALID_CUSTOM_LOGIC]]="",TRUE,DB_TBL_DATA_FIELDS[[#This Row],[FIELD_VALID_CUSTOM_LOGIC]]),DB_TBL_DATA_FIELDS[[#This Row],[RANGE_VALIDATION_PASSED_FLAG]])</f>
        <v>0</v>
      </c>
      <c r="L56"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6" s="1">
        <f ca="1">IF(DB_TBL_DATA_FIELDS[[#This Row],[SHEET_REF_CALC]]="","",IF(DB_TBL_DATA_FIELDS[[#This Row],[FIELD_EMPTY_FLAG]],IF(NOT(DB_TBL_DATA_FIELDS[[#This Row],[FIELD_REQ_FLAG]]),-1,1),IF(NOT(DB_TBL_DATA_FIELDS[[#This Row],[FIELD_VALID_FLAG]]),0,2)))</f>
        <v>1</v>
      </c>
      <c r="N56" s="1" t="str">
        <f ca="1">IFERROR(VLOOKUP(DB_TBL_DATA_FIELDS[[#This Row],[FIELD_STATUS_CODE]],DB_TBL_CONFIG_FIELDSTATUSCODES[#All],3,FALSE),"")</f>
        <v>Required</v>
      </c>
      <c r="O56" s="1" t="str">
        <f ca="1">IFERROR(VLOOKUP(DB_TBL_DATA_FIELDS[[#This Row],[FIELD_STATUS_CODE]],DB_TBL_CONFIG_FIELDSTATUSCODES[#All],4,FALSE),"")</f>
        <v>i</v>
      </c>
      <c r="P56" s="1" t="b">
        <f>TRUE</f>
        <v>1</v>
      </c>
      <c r="Q56" s="1" t="b">
        <f>TRUE</f>
        <v>1</v>
      </c>
      <c r="R56" s="1" t="s">
        <v>9</v>
      </c>
      <c r="S56" s="1">
        <f ca="1">IF(DB_TBL_DATA_FIELDS[[#This Row],[RANGE_VALIDATION_FLAG]]="Text",LEN(DB_TBL_DATA_FIELDS[[#This Row],[FIELD_VALUE_RAW]]),IFERROR(VALUE(DB_TBL_DATA_FIELDS[[#This Row],[FIELD_VALUE_RAW]]),-1))</f>
        <v>0</v>
      </c>
      <c r="T56" s="1">
        <v>5</v>
      </c>
      <c r="U56" s="1">
        <v>10</v>
      </c>
      <c r="V56" s="1" t="b">
        <f ca="1">IF(NOT(DB_TBL_DATA_FIELDS[[#This Row],[RANGE_VALIDATION_ON_FLAG]]),TRUE,
AND(DB_TBL_DATA_FIELDS[[#This Row],[RANGE_VALUE_LEN]]&gt;=DB_TBL_DATA_FIELDS[[#This Row],[RANGE_VALIDATION_MIN]],DB_TBL_DATA_FIELDS[[#This Row],[RANGE_VALUE_LEN]]&lt;=DB_TBL_DATA_FIELDS[[#This Row],[RANGE_VALIDATION_MAX]]))</f>
        <v>0</v>
      </c>
      <c r="W56" s="1">
        <v>1</v>
      </c>
      <c r="X56" s="1">
        <f ca="1">IF(DB_TBL_DATA_FIELDS[[#This Row],[PCT_CALC_SHOW_STATUS_CODE]]=1,
DB_TBL_DATA_FIELDS[[#This Row],[FIELD_STATUS_CODE]],
IF(AND(DB_TBL_DATA_FIELDS[[#This Row],[PCT_CALC_SHOW_STATUS_CODE]]=2,DB_TBL_DATA_FIELDS[[#This Row],[FIELD_STATUS_CODE]]=0),
DB_TBL_DATA_FIELDS[[#This Row],[FIELD_STATUS_CODE]],
"")
)</f>
        <v>1</v>
      </c>
    </row>
    <row r="57" spans="1:26" x14ac:dyDescent="0.2">
      <c r="A57" s="1" t="s">
        <v>2207</v>
      </c>
      <c r="B57" s="16" t="str">
        <f ca="1">IFERROR(IF(FIND(DATA_EFORM_TYPE_CODE,DB_TBL_DATA_FIELDS[[#This Row],[APPLICABLE_EFORM_LIST]])&gt;0,DATA_EFORM_TYPE_CODE,""),"")</f>
        <v>RES</v>
      </c>
      <c r="C57" s="1" t="s">
        <v>2323</v>
      </c>
      <c r="D57" s="1" t="b">
        <v>1</v>
      </c>
      <c r="E57" s="18" t="b">
        <v>1</v>
      </c>
      <c r="F57" s="2" t="s">
        <v>2330</v>
      </c>
      <c r="G57" s="21" t="str">
        <f ca="1">IFERROR(VLOOKUP(VLOOKUP(DB_TBL_DATA_FIELDS[[#This Row],[FIELD_ID]],INDIRECT(DB_TBL_DATA_FIELDS[[#This Row],[SHEET_REF_CALC]]&amp;"!A:B"),2,FALSE),COUNTY_LIST_ALLUSA,1,FALSE),"")</f>
        <v/>
      </c>
      <c r="H57" s="21" t="str">
        <f ca="1">IF(DB_TBL_DATA_FIELDS[[#This Row],[FIELD_VALUE_RAW]]="","",IFERROR(MATCH(UPPER(G55&amp;"_"&amp;DB_TBL_DATA_FIELDS[[#This Row],[FIELD_VALUE_RAW]]),'$DB.LOOKUP'!S:S,0),0)&gt;0)</f>
        <v/>
      </c>
      <c r="I57" s="2" t="b">
        <f ca="1">(DB_TBL_DATA_FIELDS[[#This Row],[FIELD_VALUE_RAW]]="")</f>
        <v>1</v>
      </c>
      <c r="J57" s="2" t="s">
        <v>9</v>
      </c>
      <c r="K57" s="1" t="b">
        <f ca="1">AND(IF(DB_TBL_DATA_FIELDS[[#This Row],[FIELD_VALID_CUSTOM_LOGIC]]="",TRUE,DB_TBL_DATA_FIELDS[[#This Row],[FIELD_VALID_CUSTOM_LOGIC]]),DB_TBL_DATA_FIELDS[[#This Row],[RANGE_VALIDATION_PASSED_FLAG]])</f>
        <v>1</v>
      </c>
      <c r="L5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7" s="1">
        <f ca="1">IF(DB_TBL_DATA_FIELDS[[#This Row],[SHEET_REF_CALC]]="","",IF(DB_TBL_DATA_FIELDS[[#This Row],[FIELD_EMPTY_FLAG]],IF(NOT(DB_TBL_DATA_FIELDS[[#This Row],[FIELD_REQ_FLAG]]),-1,1),IF(NOT(DB_TBL_DATA_FIELDS[[#This Row],[FIELD_VALID_FLAG]]),0,2)))</f>
        <v>1</v>
      </c>
      <c r="N57" s="1" t="str">
        <f ca="1">IFERROR(VLOOKUP(DB_TBL_DATA_FIELDS[[#This Row],[FIELD_STATUS_CODE]],DB_TBL_CONFIG_FIELDSTATUSCODES[#All],3,FALSE),"")</f>
        <v>Required</v>
      </c>
      <c r="O57" s="1" t="str">
        <f ca="1">IFERROR(VLOOKUP(DB_TBL_DATA_FIELDS[[#This Row],[FIELD_STATUS_CODE]],DB_TBL_CONFIG_FIELDSTATUSCODES[#All],4,FALSE),"")</f>
        <v>i</v>
      </c>
      <c r="P57" s="1" t="b">
        <f>TRUE</f>
        <v>1</v>
      </c>
      <c r="Q57" s="1" t="b">
        <f>TRUE</f>
        <v>1</v>
      </c>
      <c r="R57" s="1" t="s">
        <v>9</v>
      </c>
      <c r="S57" s="1">
        <f ca="1">IF(DB_TBL_DATA_FIELDS[[#This Row],[RANGE_VALIDATION_FLAG]]="Text",LEN(DB_TBL_DATA_FIELDS[[#This Row],[FIELD_VALUE_RAW]]),IFERROR(VALUE(DB_TBL_DATA_FIELDS[[#This Row],[FIELD_VALUE_RAW]]),-1))</f>
        <v>0</v>
      </c>
      <c r="T57" s="1">
        <v>0</v>
      </c>
      <c r="U57" s="1">
        <v>50</v>
      </c>
      <c r="V57" s="1" t="b">
        <f ca="1">IF(NOT(DB_TBL_DATA_FIELDS[[#This Row],[RANGE_VALIDATION_ON_FLAG]]),TRUE,
AND(DB_TBL_DATA_FIELDS[[#This Row],[RANGE_VALUE_LEN]]&gt;=DB_TBL_DATA_FIELDS[[#This Row],[RANGE_VALIDATION_MIN]],DB_TBL_DATA_FIELDS[[#This Row],[RANGE_VALUE_LEN]]&lt;=DB_TBL_DATA_FIELDS[[#This Row],[RANGE_VALIDATION_MAX]]))</f>
        <v>1</v>
      </c>
      <c r="W57" s="1">
        <v>1</v>
      </c>
      <c r="X57" s="1">
        <f ca="1">IF(DB_TBL_DATA_FIELDS[[#This Row],[PCT_CALC_SHOW_STATUS_CODE]]=1,
DB_TBL_DATA_FIELDS[[#This Row],[FIELD_STATUS_CODE]],
IF(AND(DB_TBL_DATA_FIELDS[[#This Row],[PCT_CALC_SHOW_STATUS_CODE]]=2,DB_TBL_DATA_FIELDS[[#This Row],[FIELD_STATUS_CODE]]=0),
DB_TBL_DATA_FIELDS[[#This Row],[FIELD_STATUS_CODE]],
"")
)</f>
        <v>1</v>
      </c>
    </row>
    <row r="58" spans="1:26" x14ac:dyDescent="0.2">
      <c r="A58" s="1" t="s">
        <v>2207</v>
      </c>
      <c r="B58" s="16" t="str">
        <f ca="1">IFERROR(IF(FIND(DATA_EFORM_TYPE_CODE,DB_TBL_DATA_FIELDS[[#This Row],[APPLICABLE_EFORM_LIST]])&gt;0,DATA_EFORM_TYPE_CODE,""),"")</f>
        <v>RES</v>
      </c>
      <c r="C58" s="1" t="s">
        <v>2882</v>
      </c>
      <c r="D58" s="1" t="b">
        <v>0</v>
      </c>
      <c r="E58" s="18" t="b">
        <v>0</v>
      </c>
      <c r="F58" s="2" t="s">
        <v>2883</v>
      </c>
      <c r="G58" s="21" t="str">
        <f ca="1">IF(OR(I53,I54,I55,I56),"",PROPER(DATA_PROPTY_ADDR)&amp;", "&amp;PROPER(G54)&amp;", "&amp;UPPER(DATA_PROPTY_STATE_CODE)&amp;" "&amp;DATA_PROPTY_ZIP_CODE)</f>
        <v/>
      </c>
      <c r="I58" s="2" t="b">
        <f ca="1">(DB_TBL_DATA_FIELDS[[#This Row],[FIELD_VALUE_RAW]]="")</f>
        <v>1</v>
      </c>
      <c r="J58" s="2" t="s">
        <v>9</v>
      </c>
      <c r="K58" s="1" t="b">
        <f>AND(IF(DB_TBL_DATA_FIELDS[[#This Row],[FIELD_VALID_CUSTOM_LOGIC]]="",TRUE,DB_TBL_DATA_FIELDS[[#This Row],[FIELD_VALID_CUSTOM_LOGIC]]),DB_TBL_DATA_FIELDS[[#This Row],[RANGE_VALIDATION_PASSED_FLAG]])</f>
        <v>1</v>
      </c>
      <c r="L58"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8" s="1">
        <f ca="1">IF(DB_TBL_DATA_FIELDS[[#This Row],[SHEET_REF_CALC]]="","",IF(DB_TBL_DATA_FIELDS[[#This Row],[FIELD_EMPTY_FLAG]],IF(NOT(DB_TBL_DATA_FIELDS[[#This Row],[FIELD_REQ_FLAG]]),-1,1),IF(NOT(DB_TBL_DATA_FIELDS[[#This Row],[FIELD_VALID_FLAG]]),0,2)))</f>
        <v>-1</v>
      </c>
      <c r="N58" s="1" t="str">
        <f ca="1">IFERROR(VLOOKUP(DB_TBL_DATA_FIELDS[[#This Row],[FIELD_STATUS_CODE]],DB_TBL_CONFIG_FIELDSTATUSCODES[#All],3,FALSE),"")</f>
        <v>Optional</v>
      </c>
      <c r="O58" s="1" t="str">
        <f ca="1">IFERROR(VLOOKUP(DB_TBL_DATA_FIELDS[[#This Row],[FIELD_STATUS_CODE]],DB_TBL_CONFIG_FIELDSTATUSCODES[#All],4,FALSE),"")</f>
        <v xml:space="preserve"> </v>
      </c>
      <c r="P58" s="1" t="b">
        <f>TRUE</f>
        <v>1</v>
      </c>
      <c r="Q58" s="1" t="b">
        <v>0</v>
      </c>
      <c r="S58" s="1">
        <f ca="1">IF(DB_TBL_DATA_FIELDS[[#This Row],[RANGE_VALIDATION_FLAG]]="Text",LEN(DB_TBL_DATA_FIELDS[[#This Row],[FIELD_VALUE_RAW]]),IFERROR(VALUE(DB_TBL_DATA_FIELDS[[#This Row],[FIELD_VALUE_RAW]]),-1))</f>
        <v>-1</v>
      </c>
      <c r="V58" s="1" t="b">
        <f>IF(NOT(DB_TBL_DATA_FIELDS[[#This Row],[RANGE_VALIDATION_ON_FLAG]]),TRUE,
AND(DB_TBL_DATA_FIELDS[[#This Row],[RANGE_VALUE_LEN]]&gt;=DB_TBL_DATA_FIELDS[[#This Row],[RANGE_VALIDATION_MIN]],DB_TBL_DATA_FIELDS[[#This Row],[RANGE_VALUE_LEN]]&lt;=DB_TBL_DATA_FIELDS[[#This Row],[RANGE_VALIDATION_MAX]]))</f>
        <v>1</v>
      </c>
      <c r="W58" s="1">
        <v>0</v>
      </c>
      <c r="X58" s="1" t="str">
        <f ca="1">IF(DB_TBL_DATA_FIELDS[[#This Row],[PCT_CALC_SHOW_STATUS_CODE]]=1,
DB_TBL_DATA_FIELDS[[#This Row],[FIELD_STATUS_CODE]],
IF(AND(DB_TBL_DATA_FIELDS[[#This Row],[PCT_CALC_SHOW_STATUS_CODE]]=2,DB_TBL_DATA_FIELDS[[#This Row],[FIELD_STATUS_CODE]]=0),
DB_TBL_DATA_FIELDS[[#This Row],[FIELD_STATUS_CODE]],
"")
)</f>
        <v/>
      </c>
      <c r="Y58" s="1"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58" s="1" t="s">
        <v>2845</v>
      </c>
    </row>
    <row r="59" spans="1:26" x14ac:dyDescent="0.2">
      <c r="A59" s="1" t="s">
        <v>2207</v>
      </c>
      <c r="B59" s="16" t="str">
        <f ca="1">IFERROR(IF(FIND(DATA_EFORM_TYPE_CODE,DB_TBL_DATA_FIELDS[[#This Row],[APPLICABLE_EFORM_LIST]])&gt;0,DATA_EFORM_TYPE_CODE,""),"")</f>
        <v>RES</v>
      </c>
      <c r="C59" s="1" t="s">
        <v>2949</v>
      </c>
      <c r="D59" s="1" t="b">
        <v>1</v>
      </c>
      <c r="E59" s="18" t="b">
        <v>1</v>
      </c>
      <c r="F59" s="2" t="s">
        <v>2950</v>
      </c>
      <c r="G59" s="2" t="str">
        <f ca="1">IFERROR(VLOOKUP(DB_TBL_DATA_FIELDS[[#This Row],[FIELD_ID]],INDIRECT(DB_TBL_DATA_FIELDS[[#This Row],[SHEET_REF_CALC]]&amp;"!A:B"),2,FALSE),"")</f>
        <v/>
      </c>
      <c r="I59" s="2" t="b">
        <f ca="1">(DB_TBL_DATA_FIELDS[[#This Row],[FIELD_VALUE_RAW]]="")</f>
        <v>1</v>
      </c>
      <c r="J59" s="2" t="s">
        <v>9</v>
      </c>
      <c r="K59" s="1" t="b">
        <f ca="1">AND(IF(DB_TBL_DATA_FIELDS[[#This Row],[FIELD_VALID_CUSTOM_LOGIC]]="",TRUE,DB_TBL_DATA_FIELDS[[#This Row],[FIELD_VALID_CUSTOM_LOGIC]]),DB_TBL_DATA_FIELDS[[#This Row],[RANGE_VALIDATION_PASSED_FLAG]])</f>
        <v>0</v>
      </c>
      <c r="L59"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9" s="1">
        <f ca="1">IF(DB_TBL_DATA_FIELDS[[#This Row],[SHEET_REF_CALC]]="","",IF(DB_TBL_DATA_FIELDS[[#This Row],[FIELD_EMPTY_FLAG]],IF(NOT(DB_TBL_DATA_FIELDS[[#This Row],[FIELD_REQ_FLAG]]),-1,1),IF(NOT(DB_TBL_DATA_FIELDS[[#This Row],[FIELD_VALID_FLAG]]),0,2)))</f>
        <v>1</v>
      </c>
      <c r="N59" s="1" t="str">
        <f ca="1">IFERROR(VLOOKUP(DB_TBL_DATA_FIELDS[[#This Row],[FIELD_STATUS_CODE]],DB_TBL_CONFIG_FIELDSTATUSCODES[#All],3,FALSE),"")</f>
        <v>Required</v>
      </c>
      <c r="O59" s="1" t="str">
        <f ca="1">IFERROR(VLOOKUP(DB_TBL_DATA_FIELDS[[#This Row],[FIELD_STATUS_CODE]],DB_TBL_CONFIG_FIELDSTATUSCODES[#All],4,FALSE),"")</f>
        <v>i</v>
      </c>
      <c r="P59" s="1" t="b">
        <f>TRUE</f>
        <v>1</v>
      </c>
      <c r="Q59" s="1" t="b">
        <f>TRUE</f>
        <v>1</v>
      </c>
      <c r="R59" s="1" t="s">
        <v>9</v>
      </c>
      <c r="S59" s="1">
        <f ca="1">IF(DB_TBL_DATA_FIELDS[[#This Row],[RANGE_VALIDATION_FLAG]]="Text",LEN(DB_TBL_DATA_FIELDS[[#This Row],[FIELD_VALUE_RAW]]),IFERROR(VALUE(DB_TBL_DATA_FIELDS[[#This Row],[FIELD_VALUE_RAW]]),-1))</f>
        <v>0</v>
      </c>
      <c r="T59" s="1">
        <v>1</v>
      </c>
      <c r="U59" s="1">
        <v>3</v>
      </c>
      <c r="V59" s="1" t="b">
        <f ca="1">IF(NOT(DB_TBL_DATA_FIELDS[[#This Row],[RANGE_VALIDATION_ON_FLAG]]),TRUE,
AND(DB_TBL_DATA_FIELDS[[#This Row],[RANGE_VALUE_LEN]]&gt;=DB_TBL_DATA_FIELDS[[#This Row],[RANGE_VALIDATION_MIN]],DB_TBL_DATA_FIELDS[[#This Row],[RANGE_VALUE_LEN]]&lt;=DB_TBL_DATA_FIELDS[[#This Row],[RANGE_VALIDATION_MAX]]))</f>
        <v>0</v>
      </c>
      <c r="W59" s="1">
        <v>1</v>
      </c>
      <c r="X59" s="1">
        <f ca="1">IF(DB_TBL_DATA_FIELDS[[#This Row],[PCT_CALC_SHOW_STATUS_CODE]]=1,
DB_TBL_DATA_FIELDS[[#This Row],[FIELD_STATUS_CODE]],
IF(AND(DB_TBL_DATA_FIELDS[[#This Row],[PCT_CALC_SHOW_STATUS_CODE]]=2,DB_TBL_DATA_FIELDS[[#This Row],[FIELD_STATUS_CODE]]=0),
DB_TBL_DATA_FIELDS[[#This Row],[FIELD_STATUS_CODE]],
"")
)</f>
        <v>1</v>
      </c>
      <c r="Y59" s="1"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59" s="1" t="s">
        <v>2951</v>
      </c>
    </row>
    <row r="60" spans="1:26" x14ac:dyDescent="0.2">
      <c r="A60" s="1" t="s">
        <v>2207</v>
      </c>
      <c r="B60" s="16" t="str">
        <f ca="1">IFERROR(IF(FIND(DATA_EFORM_TYPE_CODE,DB_TBL_DATA_FIELDS[[#This Row],[APPLICABLE_EFORM_LIST]])&gt;0,DATA_EFORM_TYPE_CODE,""),"")</f>
        <v>RES</v>
      </c>
      <c r="C60" s="1" t="s">
        <v>2324</v>
      </c>
      <c r="D60" s="1" t="b">
        <v>1</v>
      </c>
      <c r="E60" s="18" t="b">
        <v>0</v>
      </c>
      <c r="F60" s="2" t="s">
        <v>2331</v>
      </c>
      <c r="G60" s="2" t="str">
        <f ca="1">IFERROR(VLOOKUP(DB_TBL_DATA_FIELDS[[#This Row],[FIELD_ID]],INDIRECT(DB_TBL_DATA_FIELDS[[#This Row],[SHEET_REF_CALC]]&amp;"!A:B"),2,FALSE),"")</f>
        <v/>
      </c>
      <c r="I60" s="2" t="b">
        <f ca="1">(DB_TBL_DATA_FIELDS[[#This Row],[FIELD_VALUE_RAW]]="")</f>
        <v>1</v>
      </c>
      <c r="J60" s="2" t="s">
        <v>39</v>
      </c>
      <c r="K60" s="1" t="b">
        <f ca="1">AND(IF(DB_TBL_DATA_FIELDS[[#This Row],[FIELD_VALID_CUSTOM_LOGIC]]="",TRUE,DB_TBL_DATA_FIELDS[[#This Row],[FIELD_VALID_CUSTOM_LOGIC]]),DB_TBL_DATA_FIELDS[[#This Row],[RANGE_VALIDATION_PASSED_FLAG]])</f>
        <v>0</v>
      </c>
      <c r="L60"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0" s="1">
        <f ca="1">IF(DB_TBL_DATA_FIELDS[[#This Row],[SHEET_REF_CALC]]="","",IF(DB_TBL_DATA_FIELDS[[#This Row],[FIELD_EMPTY_FLAG]],IF(NOT(DB_TBL_DATA_FIELDS[[#This Row],[FIELD_REQ_FLAG]]),-1,1),IF(NOT(DB_TBL_DATA_FIELDS[[#This Row],[FIELD_VALID_FLAG]]),0,2)))</f>
        <v>-1</v>
      </c>
      <c r="N60" s="1" t="str">
        <f ca="1">IFERROR(VLOOKUP(DB_TBL_DATA_FIELDS[[#This Row],[FIELD_STATUS_CODE]],DB_TBL_CONFIG_FIELDSTATUSCODES[#All],3,FALSE),"")</f>
        <v>Optional</v>
      </c>
      <c r="O60" s="1" t="str">
        <f ca="1">IFERROR(VLOOKUP(DB_TBL_DATA_FIELDS[[#This Row],[FIELD_STATUS_CODE]],DB_TBL_CONFIG_FIELDSTATUSCODES[#All],4,FALSE),"")</f>
        <v xml:space="preserve"> </v>
      </c>
      <c r="P60" s="1" t="b">
        <f>TRUE</f>
        <v>1</v>
      </c>
      <c r="Q60" s="1" t="b">
        <f>TRUE</f>
        <v>1</v>
      </c>
      <c r="R60" s="1" t="s">
        <v>39</v>
      </c>
      <c r="S60" s="1">
        <f ca="1">IF(DB_TBL_DATA_FIELDS[[#This Row],[RANGE_VALIDATION_FLAG]]="Text",LEN(DB_TBL_DATA_FIELDS[[#This Row],[FIELD_VALUE_RAW]]),IFERROR(VALUE(DB_TBL_DATA_FIELDS[[#This Row],[FIELD_VALUE_RAW]]),-1))</f>
        <v>-1</v>
      </c>
      <c r="T60" s="1">
        <v>1</v>
      </c>
      <c r="U60" s="1">
        <v>99999</v>
      </c>
      <c r="V60" s="1" t="b">
        <f ca="1">IF(NOT(DB_TBL_DATA_FIELDS[[#This Row],[RANGE_VALIDATION_ON_FLAG]]),TRUE,
AND(DB_TBL_DATA_FIELDS[[#This Row],[RANGE_VALUE_LEN]]&gt;=DB_TBL_DATA_FIELDS[[#This Row],[RANGE_VALIDATION_MIN]],DB_TBL_DATA_FIELDS[[#This Row],[RANGE_VALUE_LEN]]&lt;=DB_TBL_DATA_FIELDS[[#This Row],[RANGE_VALIDATION_MAX]]))</f>
        <v>0</v>
      </c>
      <c r="W60" s="1">
        <v>1</v>
      </c>
      <c r="X60" s="1">
        <f ca="1">IF(DB_TBL_DATA_FIELDS[[#This Row],[PCT_CALC_SHOW_STATUS_CODE]]=1,
DB_TBL_DATA_FIELDS[[#This Row],[FIELD_STATUS_CODE]],
IF(AND(DB_TBL_DATA_FIELDS[[#This Row],[PCT_CALC_SHOW_STATUS_CODE]]=2,DB_TBL_DATA_FIELDS[[#This Row],[FIELD_STATUS_CODE]]=0),
DB_TBL_DATA_FIELDS[[#This Row],[FIELD_STATUS_CODE]],
"")
)</f>
        <v>-1</v>
      </c>
    </row>
    <row r="61" spans="1:26" x14ac:dyDescent="0.2">
      <c r="A61" s="1" t="s">
        <v>2207</v>
      </c>
      <c r="B61" s="16" t="str">
        <f ca="1">IFERROR(IF(FIND(DATA_EFORM_TYPE_CODE,DB_TBL_DATA_FIELDS[[#This Row],[APPLICABLE_EFORM_LIST]])&gt;0,DATA_EFORM_TYPE_CODE,""),"")</f>
        <v>RES</v>
      </c>
      <c r="C61" s="1" t="s">
        <v>2325</v>
      </c>
      <c r="D61" s="1" t="b">
        <v>1</v>
      </c>
      <c r="E61" s="18" t="b">
        <v>1</v>
      </c>
      <c r="F61" s="2" t="s">
        <v>2332</v>
      </c>
      <c r="G61" s="2" t="str">
        <f ca="1">IFERROR(VLOOKUP(DB_TBL_DATA_FIELDS[[#This Row],[FIELD_ID]],INDIRECT(DB_TBL_DATA_FIELDS[[#This Row],[SHEET_REF_CALC]]&amp;"!A:B"),2,FALSE),"")</f>
        <v/>
      </c>
      <c r="I61" s="2" t="b">
        <f ca="1">(DB_TBL_DATA_FIELDS[[#This Row],[FIELD_VALUE_RAW]]="")</f>
        <v>1</v>
      </c>
      <c r="J61" s="2" t="s">
        <v>9</v>
      </c>
      <c r="K61" s="1" t="b">
        <f ca="1">AND(IF(DB_TBL_DATA_FIELDS[[#This Row],[FIELD_VALID_CUSTOM_LOGIC]]="",TRUE,DB_TBL_DATA_FIELDS[[#This Row],[FIELD_VALID_CUSTOM_LOGIC]]),DB_TBL_DATA_FIELDS[[#This Row],[RANGE_VALIDATION_PASSED_FLAG]])</f>
        <v>0</v>
      </c>
      <c r="L61"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1" s="1">
        <f ca="1">IF(DB_TBL_DATA_FIELDS[[#This Row],[SHEET_REF_CALC]]="","",IF(DB_TBL_DATA_FIELDS[[#This Row],[FIELD_EMPTY_FLAG]],IF(NOT(DB_TBL_DATA_FIELDS[[#This Row],[FIELD_REQ_FLAG]]),-1,1),IF(NOT(DB_TBL_DATA_FIELDS[[#This Row],[FIELD_VALID_FLAG]]),0,2)))</f>
        <v>1</v>
      </c>
      <c r="N61" s="1" t="str">
        <f ca="1">IFERROR(VLOOKUP(DB_TBL_DATA_FIELDS[[#This Row],[FIELD_STATUS_CODE]],DB_TBL_CONFIG_FIELDSTATUSCODES[#All],3,FALSE),"")</f>
        <v>Required</v>
      </c>
      <c r="O61" s="1" t="str">
        <f ca="1">IFERROR(VLOOKUP(DB_TBL_DATA_FIELDS[[#This Row],[FIELD_STATUS_CODE]],DB_TBL_CONFIG_FIELDSTATUSCODES[#All],4,FALSE),"")</f>
        <v>i</v>
      </c>
      <c r="P61" s="1" t="b">
        <f>TRUE</f>
        <v>1</v>
      </c>
      <c r="Q61" s="1" t="b">
        <f>TRUE</f>
        <v>1</v>
      </c>
      <c r="R61" s="1" t="s">
        <v>9</v>
      </c>
      <c r="S61" s="1">
        <f ca="1">IF(DB_TBL_DATA_FIELDS[[#This Row],[RANGE_VALIDATION_FLAG]]="Text",LEN(DB_TBL_DATA_FIELDS[[#This Row],[FIELD_VALUE_RAW]]),IFERROR(VALUE(DB_TBL_DATA_FIELDS[[#This Row],[FIELD_VALUE_RAW]]),-1))</f>
        <v>0</v>
      </c>
      <c r="T61" s="1">
        <v>7</v>
      </c>
      <c r="U61" s="1">
        <v>7</v>
      </c>
      <c r="V61" s="1" t="b">
        <f ca="1">IF(NOT(DB_TBL_DATA_FIELDS[[#This Row],[RANGE_VALIDATION_ON_FLAG]]),TRUE,
AND(DB_TBL_DATA_FIELDS[[#This Row],[RANGE_VALUE_LEN]]&gt;=DB_TBL_DATA_FIELDS[[#This Row],[RANGE_VALIDATION_MIN]],DB_TBL_DATA_FIELDS[[#This Row],[RANGE_VALUE_LEN]]&lt;=DB_TBL_DATA_FIELDS[[#This Row],[RANGE_VALIDATION_MAX]]))</f>
        <v>0</v>
      </c>
      <c r="W61" s="1">
        <v>1</v>
      </c>
      <c r="X61" s="1">
        <f ca="1">IF(DB_TBL_DATA_FIELDS[[#This Row],[PCT_CALC_SHOW_STATUS_CODE]]=1,
DB_TBL_DATA_FIELDS[[#This Row],[FIELD_STATUS_CODE]],
IF(AND(DB_TBL_DATA_FIELDS[[#This Row],[PCT_CALC_SHOW_STATUS_CODE]]=2,DB_TBL_DATA_FIELDS[[#This Row],[FIELD_STATUS_CODE]]=0),
DB_TBL_DATA_FIELDS[[#This Row],[FIELD_STATUS_CODE]],
"")
)</f>
        <v>1</v>
      </c>
    </row>
    <row r="62" spans="1:26" x14ac:dyDescent="0.2">
      <c r="A62" s="1" t="s">
        <v>2207</v>
      </c>
      <c r="B62" s="16" t="str">
        <f ca="1">IFERROR(IF(FIND(DATA_EFORM_TYPE_CODE,DB_TBL_DATA_FIELDS[[#This Row],[APPLICABLE_EFORM_LIST]])&gt;0,DATA_EFORM_TYPE_CODE,""),"")</f>
        <v>RES</v>
      </c>
      <c r="C62" s="1" t="s">
        <v>2317</v>
      </c>
      <c r="D62" s="1" t="b">
        <v>0</v>
      </c>
      <c r="E62" s="18" t="b">
        <v>1</v>
      </c>
      <c r="F62" s="2" t="s">
        <v>2318</v>
      </c>
      <c r="G62" s="2" t="str">
        <f ca="1">IFERROR(VLOOKUP(DB_TBL_DATA_FIELDS[[#This Row],[FIELD_ID]],INDIRECT(DB_TBL_DATA_FIELDS[[#This Row],[SHEET_REF_CALC]]&amp;"!A:B"),2,FALSE),"")</f>
        <v/>
      </c>
      <c r="I62" s="2" t="b">
        <f ca="1">(DB_TBL_DATA_FIELDS[[#This Row],[FIELD_VALUE_RAW]]="")</f>
        <v>1</v>
      </c>
      <c r="J62" s="2" t="s">
        <v>140</v>
      </c>
      <c r="K62" s="1" t="b">
        <f>AND(IF(DB_TBL_DATA_FIELDS[[#This Row],[FIELD_VALID_CUSTOM_LOGIC]]="",TRUE,DB_TBL_DATA_FIELDS[[#This Row],[FIELD_VALID_CUSTOM_LOGIC]]),DB_TBL_DATA_FIELDS[[#This Row],[RANGE_VALIDATION_PASSED_FLAG]])</f>
        <v>1</v>
      </c>
      <c r="L62"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2" s="1">
        <f ca="1">IF(DB_TBL_DATA_FIELDS[[#This Row],[SHEET_REF_CALC]]="","",IF(DB_TBL_DATA_FIELDS[[#This Row],[FIELD_EMPTY_FLAG]],IF(NOT(DB_TBL_DATA_FIELDS[[#This Row],[FIELD_REQ_FLAG]]),-1,1),IF(NOT(DB_TBL_DATA_FIELDS[[#This Row],[FIELD_VALID_FLAG]]),0,2)))</f>
        <v>1</v>
      </c>
      <c r="N62" s="1" t="str">
        <f ca="1">IFERROR(VLOOKUP(DB_TBL_DATA_FIELDS[[#This Row],[FIELD_STATUS_CODE]],DB_TBL_CONFIG_FIELDSTATUSCODES[#All],3,FALSE),"")</f>
        <v>Required</v>
      </c>
      <c r="O62" s="1" t="str">
        <f ca="1">IFERROR(VLOOKUP(DB_TBL_DATA_FIELDS[[#This Row],[FIELD_STATUS_CODE]],DB_TBL_CONFIG_FIELDSTATUSCODES[#All],4,FALSE),"")</f>
        <v>i</v>
      </c>
      <c r="P62" s="1" t="b">
        <f>TRUE</f>
        <v>1</v>
      </c>
      <c r="Q62" s="1" t="b">
        <v>0</v>
      </c>
      <c r="S62" s="1">
        <f ca="1">IF(DB_TBL_DATA_FIELDS[[#This Row],[RANGE_VALIDATION_FLAG]]="Text",LEN(DB_TBL_DATA_FIELDS[[#This Row],[FIELD_VALUE_RAW]]),IFERROR(VALUE(DB_TBL_DATA_FIELDS[[#This Row],[FIELD_VALUE_RAW]]),-1))</f>
        <v>-1</v>
      </c>
      <c r="V62" s="1" t="b">
        <f>IF(NOT(DB_TBL_DATA_FIELDS[[#This Row],[RANGE_VALIDATION_ON_FLAG]]),TRUE,
AND(DB_TBL_DATA_FIELDS[[#This Row],[RANGE_VALUE_LEN]]&gt;=DB_TBL_DATA_FIELDS[[#This Row],[RANGE_VALIDATION_MIN]],DB_TBL_DATA_FIELDS[[#This Row],[RANGE_VALUE_LEN]]&lt;=DB_TBL_DATA_FIELDS[[#This Row],[RANGE_VALIDATION_MAX]]))</f>
        <v>1</v>
      </c>
      <c r="W62" s="1">
        <v>1</v>
      </c>
      <c r="X62" s="1">
        <f ca="1">IF(DB_TBL_DATA_FIELDS[[#This Row],[PCT_CALC_SHOW_STATUS_CODE]]=1,
DB_TBL_DATA_FIELDS[[#This Row],[FIELD_STATUS_CODE]],
IF(AND(DB_TBL_DATA_FIELDS[[#This Row],[PCT_CALC_SHOW_STATUS_CODE]]=2,DB_TBL_DATA_FIELDS[[#This Row],[FIELD_STATUS_CODE]]=0),
DB_TBL_DATA_FIELDS[[#This Row],[FIELD_STATUS_CODE]],
"")
)</f>
        <v>1</v>
      </c>
    </row>
    <row r="63" spans="1:26" x14ac:dyDescent="0.2">
      <c r="A63" s="1" t="s">
        <v>2207</v>
      </c>
      <c r="B63" s="16" t="str">
        <f ca="1">IFERROR(IF(FIND(DATA_EFORM_TYPE_CODE,DB_TBL_DATA_FIELDS[[#This Row],[APPLICABLE_EFORM_LIST]])&gt;0,DATA_EFORM_TYPE_CODE,""),"")</f>
        <v>RES</v>
      </c>
      <c r="C63" s="1" t="s">
        <v>2333</v>
      </c>
      <c r="D63" s="1" t="b">
        <v>1</v>
      </c>
      <c r="E63" s="18" t="b">
        <v>1</v>
      </c>
      <c r="F63" s="2" t="s">
        <v>191</v>
      </c>
      <c r="G63" s="2" t="str">
        <f ca="1">IFERROR(VLOOKUP(DB_TBL_DATA_FIELDS[[#This Row],[FIELD_ID]],INDIRECT(DB_TBL_DATA_FIELDS[[#This Row],[SHEET_REF_CALC]]&amp;"!A:B"),2,FALSE),"")</f>
        <v/>
      </c>
      <c r="I63" s="2" t="b">
        <f ca="1">(DB_TBL_DATA_FIELDS[[#This Row],[FIELD_VALUE_RAW]]="")</f>
        <v>1</v>
      </c>
      <c r="J63" s="2" t="s">
        <v>39</v>
      </c>
      <c r="K63" s="1" t="b">
        <f ca="1">AND(IF(DB_TBL_DATA_FIELDS[[#This Row],[FIELD_VALID_CUSTOM_LOGIC]]="",TRUE,DB_TBL_DATA_FIELDS[[#This Row],[FIELD_VALID_CUSTOM_LOGIC]]),DB_TBL_DATA_FIELDS[[#This Row],[RANGE_VALIDATION_PASSED_FLAG]])</f>
        <v>0</v>
      </c>
      <c r="L63"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3" s="1">
        <f ca="1">IF(DB_TBL_DATA_FIELDS[[#This Row],[SHEET_REF_CALC]]="","",IF(DB_TBL_DATA_FIELDS[[#This Row],[FIELD_EMPTY_FLAG]],IF(NOT(DB_TBL_DATA_FIELDS[[#This Row],[FIELD_REQ_FLAG]]),-1,1),IF(NOT(DB_TBL_DATA_FIELDS[[#This Row],[FIELD_VALID_FLAG]]),0,2)))</f>
        <v>1</v>
      </c>
      <c r="N63" s="1" t="str">
        <f ca="1">IFERROR(VLOOKUP(DB_TBL_DATA_FIELDS[[#This Row],[FIELD_STATUS_CODE]],DB_TBL_CONFIG_FIELDSTATUSCODES[#All],3,FALSE),"")</f>
        <v>Required</v>
      </c>
      <c r="O63" s="1" t="str">
        <f ca="1">IFERROR(VLOOKUP(DB_TBL_DATA_FIELDS[[#This Row],[FIELD_STATUS_CODE]],DB_TBL_CONFIG_FIELDSTATUSCODES[#All],4,FALSE),"")</f>
        <v>i</v>
      </c>
      <c r="P63" s="1" t="b">
        <f>TRUE</f>
        <v>1</v>
      </c>
      <c r="Q63" s="1" t="b">
        <f>TRUE</f>
        <v>1</v>
      </c>
      <c r="R63" s="1" t="s">
        <v>39</v>
      </c>
      <c r="S63" s="1">
        <f ca="1">IF(DB_TBL_DATA_FIELDS[[#This Row],[RANGE_VALIDATION_FLAG]]="Text",LEN(DB_TBL_DATA_FIELDS[[#This Row],[FIELD_VALUE_RAW]]),IFERROR(VALUE(DB_TBL_DATA_FIELDS[[#This Row],[FIELD_VALUE_RAW]]),-1))</f>
        <v>-1</v>
      </c>
      <c r="T63" s="1">
        <v>0</v>
      </c>
      <c r="U63" s="1">
        <v>999999999</v>
      </c>
      <c r="V63" s="1" t="b">
        <f ca="1">IF(NOT(DB_TBL_DATA_FIELDS[[#This Row],[RANGE_VALIDATION_ON_FLAG]]),TRUE,
AND(DB_TBL_DATA_FIELDS[[#This Row],[RANGE_VALUE_LEN]]&gt;=DB_TBL_DATA_FIELDS[[#This Row],[RANGE_VALIDATION_MIN]],DB_TBL_DATA_FIELDS[[#This Row],[RANGE_VALUE_LEN]]&lt;=DB_TBL_DATA_FIELDS[[#This Row],[RANGE_VALIDATION_MAX]]))</f>
        <v>0</v>
      </c>
      <c r="W63" s="1">
        <v>1</v>
      </c>
      <c r="X63" s="1">
        <f ca="1">IF(DB_TBL_DATA_FIELDS[[#This Row],[PCT_CALC_SHOW_STATUS_CODE]]=1,
DB_TBL_DATA_FIELDS[[#This Row],[FIELD_STATUS_CODE]],
IF(AND(DB_TBL_DATA_FIELDS[[#This Row],[PCT_CALC_SHOW_STATUS_CODE]]=2,DB_TBL_DATA_FIELDS[[#This Row],[FIELD_STATUS_CODE]]=0),
DB_TBL_DATA_FIELDS[[#This Row],[FIELD_STATUS_CODE]],
"")
)</f>
        <v>1</v>
      </c>
    </row>
    <row r="64" spans="1:26" x14ac:dyDescent="0.2">
      <c r="A64" s="1" t="s">
        <v>2207</v>
      </c>
      <c r="B64" s="16" t="str">
        <f ca="1">IFERROR(IF(FIND(DATA_EFORM_TYPE_CODE,DB_TBL_DATA_FIELDS[[#This Row],[APPLICABLE_EFORM_LIST]])&gt;0,DATA_EFORM_TYPE_CODE,""),"")</f>
        <v>RES</v>
      </c>
      <c r="C64" s="1" t="s">
        <v>2337</v>
      </c>
      <c r="D64" s="1" t="b">
        <v>0</v>
      </c>
      <c r="E64" s="18" t="b">
        <v>1</v>
      </c>
      <c r="F64" s="2" t="s">
        <v>2338</v>
      </c>
      <c r="G64" s="2" t="str">
        <f ca="1">IFERROR(VLOOKUP(DB_TBL_DATA_FIELDS[[#This Row],[FIELD_ID]],INDIRECT(DB_TBL_DATA_FIELDS[[#This Row],[SHEET_REF_CALC]]&amp;"!A:B"),2,FALSE),"")</f>
        <v/>
      </c>
      <c r="H64" s="21" t="str">
        <f ca="1">H65</f>
        <v/>
      </c>
      <c r="I64" s="2" t="b">
        <f ca="1">(DB_TBL_DATA_FIELDS[[#This Row],[FIELD_VALUE_RAW]]="")</f>
        <v>1</v>
      </c>
      <c r="J64" s="2" t="s">
        <v>9</v>
      </c>
      <c r="K64" s="1" t="b">
        <f ca="1">AND(IF(DB_TBL_DATA_FIELDS[[#This Row],[FIELD_VALID_CUSTOM_LOGIC]]="",TRUE,DB_TBL_DATA_FIELDS[[#This Row],[FIELD_VALID_CUSTOM_LOGIC]]),DB_TBL_DATA_FIELDS[[#This Row],[RANGE_VALIDATION_PASSED_FLAG]])</f>
        <v>1</v>
      </c>
      <c r="L64"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4" s="1">
        <f ca="1">IF(DB_TBL_DATA_FIELDS[[#This Row],[SHEET_REF_CALC]]="","",IF(DB_TBL_DATA_FIELDS[[#This Row],[FIELD_EMPTY_FLAG]],IF(NOT(DB_TBL_DATA_FIELDS[[#This Row],[FIELD_REQ_FLAG]]),-1,1),IF(NOT(DB_TBL_DATA_FIELDS[[#This Row],[FIELD_VALID_FLAG]]),0,2)))</f>
        <v>1</v>
      </c>
      <c r="N64" s="1" t="str">
        <f ca="1">IFERROR(VLOOKUP(DB_TBL_DATA_FIELDS[[#This Row],[FIELD_STATUS_CODE]],DB_TBL_CONFIG_FIELDSTATUSCODES[#All],3,FALSE),"")</f>
        <v>Required</v>
      </c>
      <c r="O64" s="1" t="str">
        <f ca="1">IFERROR(VLOOKUP(DB_TBL_DATA_FIELDS[[#This Row],[FIELD_STATUS_CODE]],DB_TBL_CONFIG_FIELDSTATUSCODES[#All],4,FALSE),"")</f>
        <v>i</v>
      </c>
      <c r="P64" s="1" t="b">
        <f>TRUE</f>
        <v>1</v>
      </c>
      <c r="Q64" s="1" t="b">
        <f>TRUE</f>
        <v>1</v>
      </c>
      <c r="R64" s="1" t="s">
        <v>9</v>
      </c>
      <c r="S64" s="1">
        <f ca="1">IF(DB_TBL_DATA_FIELDS[[#This Row],[RANGE_VALIDATION_FLAG]]="Text",LEN(DB_TBL_DATA_FIELDS[[#This Row],[FIELD_VALUE_RAW]]),IFERROR(VALUE(DB_TBL_DATA_FIELDS[[#This Row],[FIELD_VALUE_RAW]]),-1))</f>
        <v>0</v>
      </c>
      <c r="T64" s="1">
        <v>0</v>
      </c>
      <c r="U64" s="1">
        <v>50</v>
      </c>
      <c r="V64" s="1" t="b">
        <f ca="1">IF(NOT(DB_TBL_DATA_FIELDS[[#This Row],[RANGE_VALIDATION_ON_FLAG]]),TRUE,
AND(DB_TBL_DATA_FIELDS[[#This Row],[RANGE_VALUE_LEN]]&gt;=DB_TBL_DATA_FIELDS[[#This Row],[RANGE_VALIDATION_MIN]],DB_TBL_DATA_FIELDS[[#This Row],[RANGE_VALUE_LEN]]&lt;=DB_TBL_DATA_FIELDS[[#This Row],[RANGE_VALIDATION_MAX]]))</f>
        <v>1</v>
      </c>
      <c r="W64" s="1">
        <v>1</v>
      </c>
      <c r="X64" s="1">
        <f ca="1">IF(DB_TBL_DATA_FIELDS[[#This Row],[PCT_CALC_SHOW_STATUS_CODE]]=1,
DB_TBL_DATA_FIELDS[[#This Row],[FIELD_STATUS_CODE]],
IF(AND(DB_TBL_DATA_FIELDS[[#This Row],[PCT_CALC_SHOW_STATUS_CODE]]=2,DB_TBL_DATA_FIELDS[[#This Row],[FIELD_STATUS_CODE]]=0),
DB_TBL_DATA_FIELDS[[#This Row],[FIELD_STATUS_CODE]],
"")
)</f>
        <v>1</v>
      </c>
    </row>
    <row r="65" spans="1:26" x14ac:dyDescent="0.2">
      <c r="A65" s="1" t="s">
        <v>2207</v>
      </c>
      <c r="B65" s="16" t="str">
        <f ca="1">IFERROR(IF(FIND(DATA_EFORM_TYPE_CODE,DB_TBL_DATA_FIELDS[[#This Row],[APPLICABLE_EFORM_LIST]])&gt;0,DATA_EFORM_TYPE_CODE,""),"")</f>
        <v>RES</v>
      </c>
      <c r="C65" s="1" t="s">
        <v>2334</v>
      </c>
      <c r="D65" s="1" t="b">
        <v>1</v>
      </c>
      <c r="E65" s="18" t="b">
        <v>1</v>
      </c>
      <c r="F65" s="2" t="s">
        <v>2339</v>
      </c>
      <c r="G65" s="21" t="str">
        <f ca="1">IF(DATA_PROPTY_BLDG_TYPE_UI="","",IFERROR(INDEX(RANGE_LOOKUP_PROPTY_BLDG_TYPE_CICODE,MATCH(DATA_PROPTY_BLDG_TYPE_UI,RANGE_LOOKUP_PROPTY_BLDG_TYPE_UI,0)),"[ERROR]"))</f>
        <v/>
      </c>
      <c r="H65" s="21" t="str">
        <f ca="1">IF(NOT(DB_TBL_DATA_FIELDS[[#This Row],[FIELD_EMPTY_FLAG]]),DB_TBL_DATA_FIELDS[[#This Row],[FIELD_VALUE_RAW]]&lt;&gt;"[ERROR]","")</f>
        <v/>
      </c>
      <c r="I65" s="2" t="b">
        <f ca="1">(DB_TBL_DATA_FIELDS[[#This Row],[FIELD_VALUE_RAW]]="")</f>
        <v>1</v>
      </c>
      <c r="J65" s="2" t="s">
        <v>9</v>
      </c>
      <c r="K65" s="1" t="b">
        <f ca="1">AND(IF(DB_TBL_DATA_FIELDS[[#This Row],[FIELD_VALID_CUSTOM_LOGIC]]="",TRUE,DB_TBL_DATA_FIELDS[[#This Row],[FIELD_VALID_CUSTOM_LOGIC]]),DB_TBL_DATA_FIELDS[[#This Row],[RANGE_VALIDATION_PASSED_FLAG]])</f>
        <v>1</v>
      </c>
      <c r="L65"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5" s="1">
        <f ca="1">IF(DB_TBL_DATA_FIELDS[[#This Row],[SHEET_REF_CALC]]="","",IF(DB_TBL_DATA_FIELDS[[#This Row],[FIELD_EMPTY_FLAG]],IF(NOT(DB_TBL_DATA_FIELDS[[#This Row],[FIELD_REQ_FLAG]]),-1,1),IF(NOT(DB_TBL_DATA_FIELDS[[#This Row],[FIELD_VALID_FLAG]]),0,2)))</f>
        <v>1</v>
      </c>
      <c r="N65" s="1" t="str">
        <f ca="1">IFERROR(VLOOKUP(DB_TBL_DATA_FIELDS[[#This Row],[FIELD_STATUS_CODE]],DB_TBL_CONFIG_FIELDSTATUSCODES[#All],3,FALSE),"")</f>
        <v>Required</v>
      </c>
      <c r="O65" s="1" t="str">
        <f ca="1">IFERROR(VLOOKUP(DB_TBL_DATA_FIELDS[[#This Row],[FIELD_STATUS_CODE]],DB_TBL_CONFIG_FIELDSTATUSCODES[#All],4,FALSE),"")</f>
        <v>i</v>
      </c>
      <c r="P65" s="1" t="b">
        <f>TRUE</f>
        <v>1</v>
      </c>
      <c r="Q65" s="1" t="b">
        <f>TRUE</f>
        <v>1</v>
      </c>
      <c r="R65" s="1" t="s">
        <v>9</v>
      </c>
      <c r="S65" s="1">
        <f ca="1">IF(DB_TBL_DATA_FIELDS[[#This Row],[RANGE_VALIDATION_FLAG]]="Text",LEN(DB_TBL_DATA_FIELDS[[#This Row],[FIELD_VALUE_RAW]]),IFERROR(VALUE(DB_TBL_DATA_FIELDS[[#This Row],[FIELD_VALUE_RAW]]),-1))</f>
        <v>0</v>
      </c>
      <c r="T65" s="1">
        <v>0</v>
      </c>
      <c r="U65" s="1">
        <v>50</v>
      </c>
      <c r="V65" s="1" t="b">
        <f ca="1">IF(NOT(DB_TBL_DATA_FIELDS[[#This Row],[RANGE_VALIDATION_ON_FLAG]]),TRUE,
AND(DB_TBL_DATA_FIELDS[[#This Row],[RANGE_VALUE_LEN]]&gt;=DB_TBL_DATA_FIELDS[[#This Row],[RANGE_VALIDATION_MIN]],DB_TBL_DATA_FIELDS[[#This Row],[RANGE_VALUE_LEN]]&lt;=DB_TBL_DATA_FIELDS[[#This Row],[RANGE_VALIDATION_MAX]]))</f>
        <v>1</v>
      </c>
      <c r="W65" s="1">
        <v>0</v>
      </c>
      <c r="X65" s="1" t="str">
        <f ca="1">IF(DB_TBL_DATA_FIELDS[[#This Row],[PCT_CALC_SHOW_STATUS_CODE]]=1,
DB_TBL_DATA_FIELDS[[#This Row],[FIELD_STATUS_CODE]],
IF(AND(DB_TBL_DATA_FIELDS[[#This Row],[PCT_CALC_SHOW_STATUS_CODE]]=2,DB_TBL_DATA_FIELDS[[#This Row],[FIELD_STATUS_CODE]]=0),
DB_TBL_DATA_FIELDS[[#This Row],[FIELD_STATUS_CODE]],
"")
)</f>
        <v/>
      </c>
    </row>
    <row r="66" spans="1:26" ht="13.5" thickBot="1" x14ac:dyDescent="0.25">
      <c r="A66" s="104" t="s">
        <v>2207</v>
      </c>
      <c r="B66" s="108" t="str">
        <f ca="1">IFERROR(IF(FIND(DATA_EFORM_TYPE_CODE,DB_TBL_DATA_FIELDS[[#This Row],[APPLICABLE_EFORM_LIST]])&gt;0,DATA_EFORM_TYPE_CODE,""),"")</f>
        <v>RES</v>
      </c>
      <c r="C66" s="104" t="s">
        <v>2335</v>
      </c>
      <c r="D66" s="104" t="b">
        <v>1</v>
      </c>
      <c r="E66" s="105" t="b">
        <v>1</v>
      </c>
      <c r="F66" s="106" t="s">
        <v>2336</v>
      </c>
      <c r="G66" s="106" t="str">
        <f ca="1">IFERROR(VLOOKUP(DB_TBL_DATA_FIELDS[[#This Row],[FIELD_ID]],INDIRECT(DB_TBL_DATA_FIELDS[[#This Row],[SHEET_REF_CALC]]&amp;"!A:B"),2,FALSE),"")</f>
        <v/>
      </c>
      <c r="H66" s="106"/>
      <c r="I66" s="106" t="b">
        <f ca="1">(DB_TBL_DATA_FIELDS[[#This Row],[FIELD_VALUE_RAW]]="")</f>
        <v>1</v>
      </c>
      <c r="J66" s="106" t="s">
        <v>140</v>
      </c>
      <c r="K66" s="104" t="b">
        <f>AND(IF(DB_TBL_DATA_FIELDS[[#This Row],[FIELD_VALID_CUSTOM_LOGIC]]="",TRUE,DB_TBL_DATA_FIELDS[[#This Row],[FIELD_VALID_CUSTOM_LOGIC]]),DB_TBL_DATA_FIELDS[[#This Row],[RANGE_VALIDATION_PASSED_FLAG]])</f>
        <v>1</v>
      </c>
      <c r="L66" s="1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6" s="104">
        <f ca="1">IF(DB_TBL_DATA_FIELDS[[#This Row],[SHEET_REF_CALC]]="","",IF(DB_TBL_DATA_FIELDS[[#This Row],[FIELD_EMPTY_FLAG]],IF(NOT(DB_TBL_DATA_FIELDS[[#This Row],[FIELD_REQ_FLAG]]),-1,1),IF(NOT(DB_TBL_DATA_FIELDS[[#This Row],[FIELD_VALID_FLAG]]),0,2)))</f>
        <v>1</v>
      </c>
      <c r="N66" s="104" t="str">
        <f ca="1">IFERROR(VLOOKUP(DB_TBL_DATA_FIELDS[[#This Row],[FIELD_STATUS_CODE]],DB_TBL_CONFIG_FIELDSTATUSCODES[#All],3,FALSE),"")</f>
        <v>Required</v>
      </c>
      <c r="O66" s="104" t="str">
        <f ca="1">IFERROR(VLOOKUP(DB_TBL_DATA_FIELDS[[#This Row],[FIELD_STATUS_CODE]],DB_TBL_CONFIG_FIELDSTATUSCODES[#All],4,FALSE),"")</f>
        <v>i</v>
      </c>
      <c r="P66" s="104" t="b">
        <f>TRUE</f>
        <v>1</v>
      </c>
      <c r="Q66" s="104" t="b">
        <v>0</v>
      </c>
      <c r="R66" s="104"/>
      <c r="S66" s="104">
        <f ca="1">IF(DB_TBL_DATA_FIELDS[[#This Row],[RANGE_VALIDATION_FLAG]]="Text",LEN(DB_TBL_DATA_FIELDS[[#This Row],[FIELD_VALUE_RAW]]),IFERROR(VALUE(DB_TBL_DATA_FIELDS[[#This Row],[FIELD_VALUE_RAW]]),-1))</f>
        <v>-1</v>
      </c>
      <c r="T66" s="104"/>
      <c r="U66" s="104"/>
      <c r="V66" s="104" t="b">
        <f>IF(NOT(DB_TBL_DATA_FIELDS[[#This Row],[RANGE_VALIDATION_ON_FLAG]]),TRUE,
AND(DB_TBL_DATA_FIELDS[[#This Row],[RANGE_VALUE_LEN]]&gt;=DB_TBL_DATA_FIELDS[[#This Row],[RANGE_VALIDATION_MIN]],DB_TBL_DATA_FIELDS[[#This Row],[RANGE_VALUE_LEN]]&lt;=DB_TBL_DATA_FIELDS[[#This Row],[RANGE_VALIDATION_MAX]]))</f>
        <v>1</v>
      </c>
      <c r="W66" s="104">
        <v>1</v>
      </c>
      <c r="X66" s="104">
        <f ca="1">IF(DB_TBL_DATA_FIELDS[[#This Row],[PCT_CALC_SHOW_STATUS_CODE]]=1,
DB_TBL_DATA_FIELDS[[#This Row],[FIELD_STATUS_CODE]],
IF(AND(DB_TBL_DATA_FIELDS[[#This Row],[PCT_CALC_SHOW_STATUS_CODE]]=2,DB_TBL_DATA_FIELDS[[#This Row],[FIELD_STATUS_CODE]]=0),
DB_TBL_DATA_FIELDS[[#This Row],[FIELD_STATUS_CODE]],
"")
)</f>
        <v>1</v>
      </c>
      <c r="Y66" s="104"/>
      <c r="Z66" s="104"/>
    </row>
    <row r="67" spans="1:26" x14ac:dyDescent="0.2">
      <c r="A67" s="1" t="s">
        <v>2897</v>
      </c>
      <c r="B67" s="16" t="str">
        <f ca="1">IFERROR(IF(FIND(DATA_EFORM_TYPE_CODE,DB_TBL_DATA_FIELDS[[#This Row],[APPLICABLE_EFORM_LIST]])&gt;0,DATA_EFORM_TYPE_CODE,""),"")</f>
        <v>RES</v>
      </c>
      <c r="C67" s="1" t="s">
        <v>2340</v>
      </c>
      <c r="D67" s="1" t="b">
        <v>0</v>
      </c>
      <c r="E67" s="84" t="b">
        <v>0</v>
      </c>
      <c r="F67" s="2" t="s">
        <v>2341</v>
      </c>
      <c r="G67" s="110" t="b">
        <f ca="1">IFERROR(VLOOKUP(DB_TBL_DATA_FIELDS[[#This Row],[FIELD_ID]],INDIRECT(DB_TBL_DATA_FIELDS[[#This Row],[SHEET_REF_CALC]]&amp;"!A:B"),2,FALSE),"")</f>
        <v>0</v>
      </c>
      <c r="I67" s="2" t="b">
        <f ca="1">(DB_TBL_DATA_FIELDS[[#This Row],[FIELD_VALUE_RAW]]="")</f>
        <v>0</v>
      </c>
      <c r="J67" s="2" t="s">
        <v>140</v>
      </c>
      <c r="K67" s="1" t="b">
        <f>AND(IF(DB_TBL_DATA_FIELDS[[#This Row],[FIELD_VALID_CUSTOM_LOGIC]]="",TRUE,DB_TBL_DATA_FIELDS[[#This Row],[FIELD_VALID_CUSTOM_LOGIC]]),DB_TBL_DATA_FIELDS[[#This Row],[RANGE_VALIDATION_PASSED_FLAG]])</f>
        <v>1</v>
      </c>
      <c r="L6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N</v>
      </c>
      <c r="M67" s="1">
        <f ca="1">IF(DB_TBL_DATA_FIELDS[[#This Row],[SHEET_REF_CALC]]="","",IF(DB_TBL_DATA_FIELDS[[#This Row],[FIELD_EMPTY_FLAG]],IF(NOT(DB_TBL_DATA_FIELDS[[#This Row],[FIELD_REQ_FLAG]]),-1,1),IF(NOT(DB_TBL_DATA_FIELDS[[#This Row],[FIELD_VALID_FLAG]]),0,2)))</f>
        <v>2</v>
      </c>
      <c r="N67" s="1" t="str">
        <f ca="1">IFERROR(VLOOKUP(DB_TBL_DATA_FIELDS[[#This Row],[FIELD_STATUS_CODE]],DB_TBL_CONFIG_FIELDSTATUSCODES[#All],3,FALSE),"")</f>
        <v>OK</v>
      </c>
      <c r="O67" s="1" t="str">
        <f ca="1">IFERROR(VLOOKUP(DB_TBL_DATA_FIELDS[[#This Row],[FIELD_STATUS_CODE]],DB_TBL_CONFIG_FIELDSTATUSCODES[#All],4,FALSE),"")</f>
        <v>a</v>
      </c>
      <c r="P67" s="1" t="b">
        <f>TRUE</f>
        <v>1</v>
      </c>
      <c r="Q67" s="1" t="b">
        <v>0</v>
      </c>
      <c r="S67" s="1">
        <f ca="1">IF(DB_TBL_DATA_FIELDS[[#This Row],[RANGE_VALIDATION_FLAG]]="Text",LEN(DB_TBL_DATA_FIELDS[[#This Row],[FIELD_VALUE_RAW]]),IFERROR(VALUE(DB_TBL_DATA_FIELDS[[#This Row],[FIELD_VALUE_RAW]]),-1))</f>
        <v>-1</v>
      </c>
      <c r="V67" s="1" t="b">
        <f>IF(NOT(DB_TBL_DATA_FIELDS[[#This Row],[RANGE_VALIDATION_ON_FLAG]]),TRUE,
AND(DB_TBL_DATA_FIELDS[[#This Row],[RANGE_VALUE_LEN]]&gt;=DB_TBL_DATA_FIELDS[[#This Row],[RANGE_VALIDATION_MIN]],DB_TBL_DATA_FIELDS[[#This Row],[RANGE_VALUE_LEN]]&lt;=DB_TBL_DATA_FIELDS[[#This Row],[RANGE_VALIDATION_MAX]]))</f>
        <v>1</v>
      </c>
      <c r="W67" s="1">
        <v>0</v>
      </c>
      <c r="X67" s="1" t="str">
        <f ca="1">IF(DB_TBL_DATA_FIELDS[[#This Row],[PCT_CALC_SHOW_STATUS_CODE]]=1,
DB_TBL_DATA_FIELDS[[#This Row],[FIELD_STATUS_CODE]],
IF(AND(DB_TBL_DATA_FIELDS[[#This Row],[PCT_CALC_SHOW_STATUS_CODE]]=2,DB_TBL_DATA_FIELDS[[#This Row],[FIELD_STATUS_CODE]]=0),
DB_TBL_DATA_FIELDS[[#This Row],[FIELD_STATUS_CODE]],
"")
)</f>
        <v/>
      </c>
    </row>
    <row r="68" spans="1:26" x14ac:dyDescent="0.2">
      <c r="A68" s="1" t="s">
        <v>2897</v>
      </c>
      <c r="B68" s="16" t="str">
        <f ca="1">IFERROR(IF(FIND(DATA_EFORM_TYPE_CODE,DB_TBL_DATA_FIELDS[[#This Row],[APPLICABLE_EFORM_LIST]])&gt;0,DATA_EFORM_TYPE_CODE,""),"")</f>
        <v>RES</v>
      </c>
      <c r="C68" s="1" t="s">
        <v>2342</v>
      </c>
      <c r="D68" s="1" t="b">
        <v>0</v>
      </c>
      <c r="E68" s="84" t="b">
        <f ca="1">IF(DB_TBL_DATA_FIELDS[[#This Row],[SHEET_REF_CALC]]="RES",TRUE,DATA_ADL_ICW_FLAG=TRUE)</f>
        <v>1</v>
      </c>
      <c r="F68" s="2" t="s">
        <v>2343</v>
      </c>
      <c r="G68" s="21" t="str">
        <f ca="1">IF(DATA_ICW_COMPLETE_FLAG=TRUE,TRUE,"")</f>
        <v/>
      </c>
      <c r="H68" s="21" t="str">
        <f ca="1">IF(DB_TBL_DATA_FIELDS[[#This Row],[FIELD_EMPTY_FLAG]],"",AND(NOT(I73),NOT(I70)))</f>
        <v/>
      </c>
      <c r="I68" s="2" t="b">
        <f ca="1">(DB_TBL_DATA_FIELDS[[#This Row],[FIELD_VALUE_RAW]]="")</f>
        <v>1</v>
      </c>
      <c r="J68" s="2" t="s">
        <v>140</v>
      </c>
      <c r="K68" s="1" t="b">
        <f ca="1">AND(IF(DB_TBL_DATA_FIELDS[[#This Row],[FIELD_VALID_CUSTOM_LOGIC]]="",TRUE,DB_TBL_DATA_FIELDS[[#This Row],[FIELD_VALID_CUSTOM_LOGIC]]),DB_TBL_DATA_FIELDS[[#This Row],[RANGE_VALIDATION_PASSED_FLAG]])</f>
        <v>1</v>
      </c>
      <c r="L68"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8" s="1">
        <f ca="1">IF(DB_TBL_DATA_FIELDS[[#This Row],[SHEET_REF_CALC]]="","",IF(DB_TBL_DATA_FIELDS[[#This Row],[FIELD_EMPTY_FLAG]],IF(NOT(DB_TBL_DATA_FIELDS[[#This Row],[FIELD_REQ_FLAG]]),-1,1),IF(NOT(DB_TBL_DATA_FIELDS[[#This Row],[FIELD_VALID_FLAG]]),0,2)))</f>
        <v>1</v>
      </c>
      <c r="N68" s="1" t="str">
        <f ca="1">IFERROR(VLOOKUP(DB_TBL_DATA_FIELDS[[#This Row],[FIELD_STATUS_CODE]],DB_TBL_CONFIG_FIELDSTATUSCODES[#All],3,FALSE),"")</f>
        <v>Required</v>
      </c>
      <c r="O68" s="1" t="str">
        <f ca="1">IFERROR(VLOOKUP(DB_TBL_DATA_FIELDS[[#This Row],[FIELD_STATUS_CODE]],DB_TBL_CONFIG_FIELDSTATUSCODES[#All],4,FALSE),"")</f>
        <v>i</v>
      </c>
      <c r="P68" s="1" t="b">
        <f>TRUE</f>
        <v>1</v>
      </c>
      <c r="Q68" s="1" t="b">
        <v>0</v>
      </c>
      <c r="S68" s="1">
        <f ca="1">IF(DB_TBL_DATA_FIELDS[[#This Row],[RANGE_VALIDATION_FLAG]]="Text",LEN(DB_TBL_DATA_FIELDS[[#This Row],[FIELD_VALUE_RAW]]),IFERROR(VALUE(DB_TBL_DATA_FIELDS[[#This Row],[FIELD_VALUE_RAW]]),-1))</f>
        <v>-1</v>
      </c>
      <c r="V68" s="1" t="b">
        <f>IF(NOT(DB_TBL_DATA_FIELDS[[#This Row],[RANGE_VALIDATION_ON_FLAG]]),TRUE,
AND(DB_TBL_DATA_FIELDS[[#This Row],[RANGE_VALUE_LEN]]&gt;=DB_TBL_DATA_FIELDS[[#This Row],[RANGE_VALIDATION_MIN]],DB_TBL_DATA_FIELDS[[#This Row],[RANGE_VALUE_LEN]]&lt;=DB_TBL_DATA_FIELDS[[#This Row],[RANGE_VALIDATION_MAX]]))</f>
        <v>1</v>
      </c>
      <c r="W68" s="1">
        <v>1</v>
      </c>
      <c r="X68" s="1">
        <f ca="1">IF(DB_TBL_DATA_FIELDS[[#This Row],[PCT_CALC_SHOW_STATUS_CODE]]=1,
DB_TBL_DATA_FIELDS[[#This Row],[FIELD_STATUS_CODE]],
IF(AND(DB_TBL_DATA_FIELDS[[#This Row],[PCT_CALC_SHOW_STATUS_CODE]]=2,DB_TBL_DATA_FIELDS[[#This Row],[FIELD_STATUS_CODE]]=0),
DB_TBL_DATA_FIELDS[[#This Row],[FIELD_STATUS_CODE]],
"")
)</f>
        <v>1</v>
      </c>
      <c r="Y68" s="16" t="str">
        <f ca="1">IF(DB_TBL_DATA_FIELDS[[#This Row],[FIELD_STATUS_CODE]]=0,IF(NOT(DB_TBL_DATA_FIELDS[[#This Row],[FIELD_VALID_CUSTOM_LOGIC]]),"Income Calculation Worksheet is incomplete",""),"")</f>
        <v/>
      </c>
    </row>
    <row r="69" spans="1:26" x14ac:dyDescent="0.2">
      <c r="A69" s="1" t="s">
        <v>2207</v>
      </c>
      <c r="B69" s="16" t="str">
        <f ca="1">IFERROR(IF(FIND(DATA_EFORM_TYPE_CODE,DB_TBL_DATA_FIELDS[[#This Row],[APPLICABLE_EFORM_LIST]])&gt;0,DATA_EFORM_TYPE_CODE,""),"")</f>
        <v>RES</v>
      </c>
      <c r="C69" s="1" t="s">
        <v>2344</v>
      </c>
      <c r="D69" s="1" t="b">
        <v>1</v>
      </c>
      <c r="E69" s="18" t="b">
        <v>1</v>
      </c>
      <c r="F69" s="2" t="s">
        <v>2354</v>
      </c>
      <c r="G69" s="21" t="str">
        <f ca="1">IFERROR(IF(DATA_PROPTY_STATE_CODE&lt;&gt;"",INDEX(RANGE_LOOKUP_INC_GUIDLN_CODE,MATCH(DATA_PROPTY_STATE_CODE,RANGE_LOOKUP_STATE,0)),""),"")</f>
        <v/>
      </c>
      <c r="I69" s="2" t="b">
        <f ca="1">(DB_TBL_DATA_FIELDS[[#This Row],[FIELD_VALUE_RAW]]="")</f>
        <v>1</v>
      </c>
      <c r="J69" s="2" t="s">
        <v>9</v>
      </c>
      <c r="K69" s="1" t="b">
        <f ca="1">AND(IF(DB_TBL_DATA_FIELDS[[#This Row],[FIELD_VALID_CUSTOM_LOGIC]]="",TRUE,DB_TBL_DATA_FIELDS[[#This Row],[FIELD_VALID_CUSTOM_LOGIC]]),DB_TBL_DATA_FIELDS[[#This Row],[RANGE_VALIDATION_PASSED_FLAG]])</f>
        <v>1</v>
      </c>
      <c r="L69"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9" s="1">
        <f ca="1">IF(DB_TBL_DATA_FIELDS[[#This Row],[SHEET_REF_CALC]]="","",IF(DB_TBL_DATA_FIELDS[[#This Row],[FIELD_EMPTY_FLAG]],IF(NOT(DB_TBL_DATA_FIELDS[[#This Row],[FIELD_REQ_FLAG]]),-1,1),IF(NOT(DB_TBL_DATA_FIELDS[[#This Row],[FIELD_VALID_FLAG]]),0,2)))</f>
        <v>1</v>
      </c>
      <c r="N69" s="1" t="str">
        <f ca="1">IFERROR(VLOOKUP(DB_TBL_DATA_FIELDS[[#This Row],[FIELD_STATUS_CODE]],DB_TBL_CONFIG_FIELDSTATUSCODES[#All],3,FALSE),"")</f>
        <v>Required</v>
      </c>
      <c r="O69" s="1" t="str">
        <f ca="1">IFERROR(VLOOKUP(DB_TBL_DATA_FIELDS[[#This Row],[FIELD_STATUS_CODE]],DB_TBL_CONFIG_FIELDSTATUSCODES[#All],4,FALSE),"")</f>
        <v>i</v>
      </c>
      <c r="P69" s="1" t="b">
        <f>TRUE</f>
        <v>1</v>
      </c>
      <c r="Q69" s="1" t="b">
        <f>TRUE</f>
        <v>1</v>
      </c>
      <c r="R69" s="1" t="s">
        <v>9</v>
      </c>
      <c r="S69" s="1">
        <f ca="1">IF(DB_TBL_DATA_FIELDS[[#This Row],[RANGE_VALIDATION_FLAG]]="Text",LEN(DB_TBL_DATA_FIELDS[[#This Row],[FIELD_VALUE_RAW]]),IFERROR(VALUE(DB_TBL_DATA_FIELDS[[#This Row],[FIELD_VALUE_RAW]]),-1))</f>
        <v>0</v>
      </c>
      <c r="T69" s="1">
        <v>0</v>
      </c>
      <c r="U69" s="1">
        <v>4</v>
      </c>
      <c r="V69" s="1" t="b">
        <f ca="1">IF(NOT(DB_TBL_DATA_FIELDS[[#This Row],[RANGE_VALIDATION_ON_FLAG]]),TRUE,
AND(DB_TBL_DATA_FIELDS[[#This Row],[RANGE_VALUE_LEN]]&gt;=DB_TBL_DATA_FIELDS[[#This Row],[RANGE_VALIDATION_MIN]],DB_TBL_DATA_FIELDS[[#This Row],[RANGE_VALUE_LEN]]&lt;=DB_TBL_DATA_FIELDS[[#This Row],[RANGE_VALIDATION_MAX]]))</f>
        <v>1</v>
      </c>
      <c r="W69" s="1">
        <v>0</v>
      </c>
      <c r="X69" s="1" t="str">
        <f ca="1">IF(DB_TBL_DATA_FIELDS[[#This Row],[PCT_CALC_SHOW_STATUS_CODE]]=1,
DB_TBL_DATA_FIELDS[[#This Row],[FIELD_STATUS_CODE]],
IF(AND(DB_TBL_DATA_FIELDS[[#This Row],[PCT_CALC_SHOW_STATUS_CODE]]=2,DB_TBL_DATA_FIELDS[[#This Row],[FIELD_STATUS_CODE]]=0),
DB_TBL_DATA_FIELDS[[#This Row],[FIELD_STATUS_CODE]],
"")
)</f>
        <v/>
      </c>
    </row>
    <row r="70" spans="1:26" x14ac:dyDescent="0.2">
      <c r="A70" s="1" t="s">
        <v>2897</v>
      </c>
      <c r="B70" s="16" t="str">
        <f ca="1">IFERROR(IF(FIND(DATA_EFORM_TYPE_CODE,DB_TBL_DATA_FIELDS[[#This Row],[APPLICABLE_EFORM_LIST]])&gt;0,DATA_EFORM_TYPE_CODE,""),"")</f>
        <v>RES</v>
      </c>
      <c r="C70" s="1" t="s">
        <v>2345</v>
      </c>
      <c r="D70" s="1" t="b">
        <v>1</v>
      </c>
      <c r="E70" s="84" t="b">
        <f ca="1">IF(DB_TBL_DATA_FIELDS[[#This Row],[SHEET_REF_CALC]]="RES",TRUE,DATA_ADL_ICW_FLAG=TRUE)</f>
        <v>1</v>
      </c>
      <c r="F70" s="2" t="s">
        <v>2353</v>
      </c>
      <c r="G70" s="2" t="str">
        <f ca="1">IFERROR(VLOOKUP(DB_TBL_DATA_FIELDS[[#This Row],[FIELD_ID]],INDIRECT(DB_TBL_DATA_FIELDS[[#This Row],[SHEET_REF_CALC]]&amp;"!A:B"),2,FALSE),"")</f>
        <v/>
      </c>
      <c r="H70" s="21" t="str">
        <f ca="1">IF(NOT(DB_TBL_DATA_FIELDS[[#This Row],[FIELD_EMPTY_FLAG]]),DB_TBL_DATA_FIELDS[[#This Row],[FIELD_REQ_FLAG]],"")</f>
        <v/>
      </c>
      <c r="I70" s="2" t="b">
        <f ca="1">(DB_TBL_DATA_FIELDS[[#This Row],[FIELD_VALUE_RAW]]="")</f>
        <v>1</v>
      </c>
      <c r="J70" s="2" t="s">
        <v>39</v>
      </c>
      <c r="K70" s="1" t="b">
        <f ca="1">AND(IF(DB_TBL_DATA_FIELDS[[#This Row],[FIELD_VALID_CUSTOM_LOGIC]]="",TRUE,DB_TBL_DATA_FIELDS[[#This Row],[FIELD_VALID_CUSTOM_LOGIC]]),DB_TBL_DATA_FIELDS[[#This Row],[RANGE_VALIDATION_PASSED_FLAG]])</f>
        <v>0</v>
      </c>
      <c r="L70"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0" s="1">
        <f ca="1">IF(DB_TBL_DATA_FIELDS[[#This Row],[SHEET_REF_CALC]]="","",IF(DB_TBL_DATA_FIELDS[[#This Row],[FIELD_EMPTY_FLAG]],IF(NOT(DB_TBL_DATA_FIELDS[[#This Row],[FIELD_REQ_FLAG]]),-1,1),IF(NOT(DB_TBL_DATA_FIELDS[[#This Row],[FIELD_VALID_FLAG]]),0,2)))</f>
        <v>1</v>
      </c>
      <c r="N70" s="1" t="str">
        <f ca="1">IFERROR(VLOOKUP(DB_TBL_DATA_FIELDS[[#This Row],[FIELD_STATUS_CODE]],DB_TBL_CONFIG_FIELDSTATUSCODES[#All],3,FALSE),"")</f>
        <v>Required</v>
      </c>
      <c r="O70" s="1" t="str">
        <f ca="1">IFERROR(VLOOKUP(DB_TBL_DATA_FIELDS[[#This Row],[FIELD_STATUS_CODE]],DB_TBL_CONFIG_FIELDSTATUSCODES[#All],4,FALSE),"")</f>
        <v>i</v>
      </c>
      <c r="P70" s="1" t="b">
        <f>TRUE</f>
        <v>1</v>
      </c>
      <c r="Q70" s="1" t="b">
        <f>TRUE</f>
        <v>1</v>
      </c>
      <c r="R70" s="1" t="s">
        <v>39</v>
      </c>
      <c r="S70" s="1">
        <f ca="1">IF(DB_TBL_DATA_FIELDS[[#This Row],[RANGE_VALIDATION_FLAG]]="Text",LEN(DB_TBL_DATA_FIELDS[[#This Row],[FIELD_VALUE_RAW]]),IFERROR(VALUE(DB_TBL_DATA_FIELDS[[#This Row],[FIELD_VALUE_RAW]]),-1))</f>
        <v>-1</v>
      </c>
      <c r="T70" s="1">
        <v>1</v>
      </c>
      <c r="U70" s="1">
        <v>20</v>
      </c>
      <c r="V70" s="1" t="b">
        <f ca="1">IF(NOT(DB_TBL_DATA_FIELDS[[#This Row],[RANGE_VALIDATION_ON_FLAG]]),TRUE,
AND(DB_TBL_DATA_FIELDS[[#This Row],[RANGE_VALUE_LEN]]&gt;=DB_TBL_DATA_FIELDS[[#This Row],[RANGE_VALIDATION_MIN]],DB_TBL_DATA_FIELDS[[#This Row],[RANGE_VALUE_LEN]]&lt;=DB_TBL_DATA_FIELDS[[#This Row],[RANGE_VALIDATION_MAX]]))</f>
        <v>0</v>
      </c>
      <c r="W70" s="1">
        <v>1</v>
      </c>
      <c r="X70" s="1">
        <f ca="1">IF(DB_TBL_DATA_FIELDS[[#This Row],[PCT_CALC_SHOW_STATUS_CODE]]=1,
DB_TBL_DATA_FIELDS[[#This Row],[FIELD_STATUS_CODE]],
IF(AND(DB_TBL_DATA_FIELDS[[#This Row],[PCT_CALC_SHOW_STATUS_CODE]]=2,DB_TBL_DATA_FIELDS[[#This Row],[FIELD_STATUS_CODE]]=0),
DB_TBL_DATA_FIELDS[[#This Row],[FIELD_STATUS_CODE]],
"")
)</f>
        <v>1</v>
      </c>
    </row>
    <row r="71" spans="1:26" x14ac:dyDescent="0.2">
      <c r="A71" s="1" t="s">
        <v>2207</v>
      </c>
      <c r="B71" s="16" t="str">
        <f ca="1">IFERROR(IF(FIND(DATA_EFORM_TYPE_CODE,DB_TBL_DATA_FIELDS[[#This Row],[APPLICABLE_EFORM_LIST]])&gt;0,DATA_EFORM_TYPE_CODE,""),"")</f>
        <v>RES</v>
      </c>
      <c r="C71" s="151" t="s">
        <v>2515</v>
      </c>
      <c r="D71" s="151" t="b">
        <v>0</v>
      </c>
      <c r="E71" s="152" t="b">
        <v>0</v>
      </c>
      <c r="F71" s="153" t="s">
        <v>2516</v>
      </c>
      <c r="G71" s="154" t="str">
        <f ca="1">IF(AND(DATA_PROPTY_CNTY_NAME&lt;&gt;"",DATA_PROPTY_STATE_CODE&lt;&gt;""),UPPER(DATA_PROPTY_STATE_CODE)&amp;"_"&amp;UPPER(DATA_PROPTY_CNTY_NAME),"")</f>
        <v/>
      </c>
      <c r="H71" s="153"/>
      <c r="I71" s="153" t="b">
        <f ca="1">(DB_TBL_DATA_FIELDS[[#This Row],[FIELD_VALUE_RAW]]="")</f>
        <v>1</v>
      </c>
      <c r="J71" s="153" t="s">
        <v>9</v>
      </c>
      <c r="K71" s="151" t="b">
        <f>AND(IF(DB_TBL_DATA_FIELDS[[#This Row],[FIELD_VALID_CUSTOM_LOGIC]]="",TRUE,DB_TBL_DATA_FIELDS[[#This Row],[FIELD_VALID_CUSTOM_LOGIC]]),DB_TBL_DATA_FIELDS[[#This Row],[RANGE_VALIDATION_PASSED_FLAG]])</f>
        <v>1</v>
      </c>
      <c r="L71" s="1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1" s="151">
        <f ca="1">IF(DB_TBL_DATA_FIELDS[[#This Row],[SHEET_REF_CALC]]="","",IF(DB_TBL_DATA_FIELDS[[#This Row],[FIELD_EMPTY_FLAG]],IF(NOT(DB_TBL_DATA_FIELDS[[#This Row],[FIELD_REQ_FLAG]]),-1,1),IF(NOT(DB_TBL_DATA_FIELDS[[#This Row],[FIELD_VALID_FLAG]]),0,2)))</f>
        <v>-1</v>
      </c>
      <c r="N71" s="151" t="str">
        <f ca="1">IFERROR(VLOOKUP(DB_TBL_DATA_FIELDS[[#This Row],[FIELD_STATUS_CODE]],DB_TBL_CONFIG_FIELDSTATUSCODES[#All],3,FALSE),"")</f>
        <v>Optional</v>
      </c>
      <c r="O71" s="151" t="str">
        <f ca="1">IFERROR(VLOOKUP(DB_TBL_DATA_FIELDS[[#This Row],[FIELD_STATUS_CODE]],DB_TBL_CONFIG_FIELDSTATUSCODES[#All],4,FALSE),"")</f>
        <v xml:space="preserve"> </v>
      </c>
      <c r="P71" s="151" t="b">
        <f>TRUE</f>
        <v>1</v>
      </c>
      <c r="Q71" s="151" t="b">
        <v>0</v>
      </c>
      <c r="R71" s="151" t="s">
        <v>9</v>
      </c>
      <c r="S71" s="151">
        <f ca="1">IF(DB_TBL_DATA_FIELDS[[#This Row],[RANGE_VALIDATION_FLAG]]="Text",LEN(DB_TBL_DATA_FIELDS[[#This Row],[FIELD_VALUE_RAW]]),IFERROR(VALUE(DB_TBL_DATA_FIELDS[[#This Row],[FIELD_VALUE_RAW]]),-1))</f>
        <v>0</v>
      </c>
      <c r="T71" s="151"/>
      <c r="U71" s="151"/>
      <c r="V71" s="151" t="b">
        <f>IF(NOT(DB_TBL_DATA_FIELDS[[#This Row],[RANGE_VALIDATION_ON_FLAG]]),TRUE,
AND(DB_TBL_DATA_FIELDS[[#This Row],[RANGE_VALUE_LEN]]&gt;=DB_TBL_DATA_FIELDS[[#This Row],[RANGE_VALIDATION_MIN]],DB_TBL_DATA_FIELDS[[#This Row],[RANGE_VALUE_LEN]]&lt;=DB_TBL_DATA_FIELDS[[#This Row],[RANGE_VALIDATION_MAX]]))</f>
        <v>1</v>
      </c>
      <c r="W71" s="151">
        <v>0</v>
      </c>
      <c r="X71" s="151" t="str">
        <f ca="1">IF(DB_TBL_DATA_FIELDS[[#This Row],[PCT_CALC_SHOW_STATUS_CODE]]=1,
DB_TBL_DATA_FIELDS[[#This Row],[FIELD_STATUS_CODE]],
IF(AND(DB_TBL_DATA_FIELDS[[#This Row],[PCT_CALC_SHOW_STATUS_CODE]]=2,DB_TBL_DATA_FIELDS[[#This Row],[FIELD_STATUS_CODE]]=0),
DB_TBL_DATA_FIELDS[[#This Row],[FIELD_STATUS_CODE]],
"")
)</f>
        <v/>
      </c>
      <c r="Y71" s="151"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71" s="151"/>
    </row>
    <row r="72" spans="1:26" x14ac:dyDescent="0.2">
      <c r="A72" s="1" t="s">
        <v>2207</v>
      </c>
      <c r="B72" s="16" t="str">
        <f ca="1">IFERROR(IF(FIND(DATA_EFORM_TYPE_CODE,DB_TBL_DATA_FIELDS[[#This Row],[APPLICABLE_EFORM_LIST]])&gt;0,DATA_EFORM_TYPE_CODE,""),"")</f>
        <v>RES</v>
      </c>
      <c r="C72" s="1" t="s">
        <v>2347</v>
      </c>
      <c r="D72" s="1" t="b">
        <v>1</v>
      </c>
      <c r="E72" s="18" t="b">
        <v>1</v>
      </c>
      <c r="F72" s="2" t="s">
        <v>2352</v>
      </c>
      <c r="G72" s="21" t="str">
        <f ca="1">IF(AND(DATA_FAMILY_SIZE_NO&lt;&gt;"",DATA_FAMILY_SIZE_NO&gt;0,DATA_INC_AREA_NAME&lt;&gt;""),
VLOOKUP(DATA_INC_AREA_NAME,LOOKUP_AMI_TABLE,8+((MIN(DATA_FAMILY_SIZE_NO,8)-1)*2),FALSE),
"")</f>
        <v/>
      </c>
      <c r="I72" s="2" t="b">
        <f ca="1">(DB_TBL_DATA_FIELDS[[#This Row],[FIELD_VALUE_RAW]]="")</f>
        <v>1</v>
      </c>
      <c r="J72" s="2" t="s">
        <v>39</v>
      </c>
      <c r="K72" s="1" t="b">
        <f ca="1">AND(IF(DB_TBL_DATA_FIELDS[[#This Row],[FIELD_VALID_CUSTOM_LOGIC]]="",TRUE,DB_TBL_DATA_FIELDS[[#This Row],[FIELD_VALID_CUSTOM_LOGIC]]),DB_TBL_DATA_FIELDS[[#This Row],[RANGE_VALIDATION_PASSED_FLAG]])</f>
        <v>0</v>
      </c>
      <c r="L72"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2" s="1">
        <f ca="1">IF(DB_TBL_DATA_FIELDS[[#This Row],[SHEET_REF_CALC]]="","",IF(DB_TBL_DATA_FIELDS[[#This Row],[FIELD_EMPTY_FLAG]],IF(NOT(DB_TBL_DATA_FIELDS[[#This Row],[FIELD_REQ_FLAG]]),-1,1),IF(NOT(DB_TBL_DATA_FIELDS[[#This Row],[FIELD_VALID_FLAG]]),0,2)))</f>
        <v>1</v>
      </c>
      <c r="N72" s="1" t="str">
        <f ca="1">IFERROR(VLOOKUP(DB_TBL_DATA_FIELDS[[#This Row],[FIELD_STATUS_CODE]],DB_TBL_CONFIG_FIELDSTATUSCODES[#All],3,FALSE),"")</f>
        <v>Required</v>
      </c>
      <c r="O72" s="1" t="str">
        <f ca="1">IFERROR(VLOOKUP(DB_TBL_DATA_FIELDS[[#This Row],[FIELD_STATUS_CODE]],DB_TBL_CONFIG_FIELDSTATUSCODES[#All],4,FALSE),"")</f>
        <v>i</v>
      </c>
      <c r="P72" s="1" t="b">
        <f>TRUE</f>
        <v>1</v>
      </c>
      <c r="Q72" s="1" t="b">
        <f>TRUE</f>
        <v>1</v>
      </c>
      <c r="R72" s="1" t="s">
        <v>39</v>
      </c>
      <c r="S72" s="1">
        <f ca="1">IF(DB_TBL_DATA_FIELDS[[#This Row],[RANGE_VALIDATION_FLAG]]="Text",LEN(DB_TBL_DATA_FIELDS[[#This Row],[FIELD_VALUE_RAW]]),IFERROR(VALUE(DB_TBL_DATA_FIELDS[[#This Row],[FIELD_VALUE_RAW]]),-1))</f>
        <v>-1</v>
      </c>
      <c r="T72" s="1">
        <v>0</v>
      </c>
      <c r="U72" s="1">
        <v>999999999</v>
      </c>
      <c r="V72" s="1" t="b">
        <f ca="1">IF(NOT(DB_TBL_DATA_FIELDS[[#This Row],[RANGE_VALIDATION_ON_FLAG]]),TRUE,
AND(DB_TBL_DATA_FIELDS[[#This Row],[RANGE_VALUE_LEN]]&gt;=DB_TBL_DATA_FIELDS[[#This Row],[RANGE_VALIDATION_MIN]],DB_TBL_DATA_FIELDS[[#This Row],[RANGE_VALUE_LEN]]&lt;=DB_TBL_DATA_FIELDS[[#This Row],[RANGE_VALIDATION_MAX]]))</f>
        <v>0</v>
      </c>
      <c r="W72" s="1">
        <v>1</v>
      </c>
      <c r="X72" s="1">
        <f ca="1">IF(DB_TBL_DATA_FIELDS[[#This Row],[PCT_CALC_SHOW_STATUS_CODE]]=1,
DB_TBL_DATA_FIELDS[[#This Row],[FIELD_STATUS_CODE]],
IF(AND(DB_TBL_DATA_FIELDS[[#This Row],[PCT_CALC_SHOW_STATUS_CODE]]=2,DB_TBL_DATA_FIELDS[[#This Row],[FIELD_STATUS_CODE]]=0),
DB_TBL_DATA_FIELDS[[#This Row],[FIELD_STATUS_CODE]],
"")
)</f>
        <v>1</v>
      </c>
    </row>
    <row r="73" spans="1:26" x14ac:dyDescent="0.2">
      <c r="A73" s="1" t="s">
        <v>2897</v>
      </c>
      <c r="B73" s="16" t="str">
        <f ca="1">IFERROR(IF(FIND(DATA_EFORM_TYPE_CODE,DB_TBL_DATA_FIELDS[[#This Row],[APPLICABLE_EFORM_LIST]])&gt;0,DATA_EFORM_TYPE_CODE,""),"")</f>
        <v>RES</v>
      </c>
      <c r="C73" s="1" t="s">
        <v>2346</v>
      </c>
      <c r="D73" s="1" t="b">
        <v>1</v>
      </c>
      <c r="E73" s="84" t="b">
        <f ca="1">IF(DB_TBL_DATA_FIELDS[[#This Row],[SHEET_REF_CALC]]="RES",TRUE,DATA_ADL_ICW_FLAG=TRUE)</f>
        <v>1</v>
      </c>
      <c r="F73" s="2" t="s">
        <v>2351</v>
      </c>
      <c r="G73" s="2" t="str">
        <f ca="1">IFERROR(VLOOKUP(DB_TBL_DATA_FIELDS[[#This Row],[FIELD_ID]],INDIRECT(DB_TBL_DATA_FIELDS[[#This Row],[SHEET_REF_CALC]]&amp;"!A:B"),2,FALSE),"")</f>
        <v/>
      </c>
      <c r="H73" s="21" t="str">
        <f ca="1">IF(NOT(DB_TBL_DATA_FIELDS[[#This Row],[FIELD_EMPTY_FLAG]]),DB_TBL_DATA_FIELDS[[#This Row],[FIELD_REQ_FLAG]],"")</f>
        <v/>
      </c>
      <c r="I73" s="2" t="b">
        <f ca="1">(DB_TBL_DATA_FIELDS[[#This Row],[FIELD_VALUE_RAW]]="")</f>
        <v>1</v>
      </c>
      <c r="J73" s="2" t="s">
        <v>39</v>
      </c>
      <c r="K73" s="1" t="b">
        <f ca="1">AND(IF(DB_TBL_DATA_FIELDS[[#This Row],[FIELD_VALID_CUSTOM_LOGIC]]="",TRUE,DB_TBL_DATA_FIELDS[[#This Row],[FIELD_VALID_CUSTOM_LOGIC]]),DB_TBL_DATA_FIELDS[[#This Row],[RANGE_VALIDATION_PASSED_FLAG]])</f>
        <v>0</v>
      </c>
      <c r="L73"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3" s="1">
        <f ca="1">IF(DB_TBL_DATA_FIELDS[[#This Row],[SHEET_REF_CALC]]="","",IF(DB_TBL_DATA_FIELDS[[#This Row],[FIELD_EMPTY_FLAG]],IF(NOT(DB_TBL_DATA_FIELDS[[#This Row],[FIELD_REQ_FLAG]]),-1,1),IF(NOT(DB_TBL_DATA_FIELDS[[#This Row],[FIELD_VALID_FLAG]]),0,2)))</f>
        <v>1</v>
      </c>
      <c r="N73" s="1" t="str">
        <f ca="1">IFERROR(VLOOKUP(DB_TBL_DATA_FIELDS[[#This Row],[FIELD_STATUS_CODE]],DB_TBL_CONFIG_FIELDSTATUSCODES[#All],3,FALSE),"")</f>
        <v>Required</v>
      </c>
      <c r="O73" s="1" t="str">
        <f ca="1">IFERROR(VLOOKUP(DB_TBL_DATA_FIELDS[[#This Row],[FIELD_STATUS_CODE]],DB_TBL_CONFIG_FIELDSTATUSCODES[#All],4,FALSE),"")</f>
        <v>i</v>
      </c>
      <c r="P73" s="1" t="b">
        <f>TRUE</f>
        <v>1</v>
      </c>
      <c r="Q73" s="1" t="b">
        <f>TRUE</f>
        <v>1</v>
      </c>
      <c r="R73" s="1" t="s">
        <v>39</v>
      </c>
      <c r="S73" s="1">
        <f ca="1">IF(DB_TBL_DATA_FIELDS[[#This Row],[RANGE_VALIDATION_FLAG]]="Text",LEN(DB_TBL_DATA_FIELDS[[#This Row],[FIELD_VALUE_RAW]]),IFERROR(VALUE(DB_TBL_DATA_FIELDS[[#This Row],[FIELD_VALUE_RAW]]),-1))</f>
        <v>-1</v>
      </c>
      <c r="T73" s="1">
        <v>0</v>
      </c>
      <c r="U73" s="1">
        <v>999999999</v>
      </c>
      <c r="V73" s="1" t="b">
        <f ca="1">IF(NOT(DB_TBL_DATA_FIELDS[[#This Row],[RANGE_VALIDATION_ON_FLAG]]),TRUE,
AND(DB_TBL_DATA_FIELDS[[#This Row],[RANGE_VALUE_LEN]]&gt;=DB_TBL_DATA_FIELDS[[#This Row],[RANGE_VALIDATION_MIN]],DB_TBL_DATA_FIELDS[[#This Row],[RANGE_VALUE_LEN]]&lt;=DB_TBL_DATA_FIELDS[[#This Row],[RANGE_VALIDATION_MAX]]))</f>
        <v>0</v>
      </c>
      <c r="W73" s="1">
        <v>1</v>
      </c>
      <c r="X73" s="1">
        <f ca="1">IF(DB_TBL_DATA_FIELDS[[#This Row],[PCT_CALC_SHOW_STATUS_CODE]]=1,
DB_TBL_DATA_FIELDS[[#This Row],[FIELD_STATUS_CODE]],
IF(AND(DB_TBL_DATA_FIELDS[[#This Row],[PCT_CALC_SHOW_STATUS_CODE]]=2,DB_TBL_DATA_FIELDS[[#This Row],[FIELD_STATUS_CODE]]=0),
DB_TBL_DATA_FIELDS[[#This Row],[FIELD_STATUS_CODE]],
"")
)</f>
        <v>1</v>
      </c>
    </row>
    <row r="74" spans="1:26" x14ac:dyDescent="0.2">
      <c r="A74" s="1" t="s">
        <v>2207</v>
      </c>
      <c r="B74" s="16" t="str">
        <f ca="1">IFERROR(IF(FIND(DATA_EFORM_TYPE_CODE,DB_TBL_DATA_FIELDS[[#This Row],[APPLICABLE_EFORM_LIST]])&gt;0,DATA_EFORM_TYPE_CODE,""),"")</f>
        <v>RES</v>
      </c>
      <c r="C74" s="1" t="s">
        <v>2349</v>
      </c>
      <c r="D74" s="1" t="b">
        <v>1</v>
      </c>
      <c r="E74" s="18" t="b">
        <v>1</v>
      </c>
      <c r="F74" s="2" t="s">
        <v>2350</v>
      </c>
      <c r="G74" s="21" t="str">
        <f ca="1">IF(AND(DATA_MAX_ALLOWABLE_INCOME&lt;&gt;"",DATA_MAX_ALLOWABLE_INCOME&gt;0,DATA_HSEHLD_INC_AMT&lt;&gt;"",DATA_HSEHLD_INC_AMT&gt;=0),DATA_HSEHLD_INC_AMT/(DATA_MAX_ALLOWABLE_INCOME*(1/CONFIG_MFI_PERCENTAGE)),"")</f>
        <v/>
      </c>
      <c r="I74" s="2" t="b">
        <f ca="1">(DB_TBL_DATA_FIELDS[[#This Row],[FIELD_VALUE_RAW]]="")</f>
        <v>1</v>
      </c>
      <c r="J74" s="2" t="s">
        <v>39</v>
      </c>
      <c r="K74" s="1" t="b">
        <f ca="1">AND(IF(DB_TBL_DATA_FIELDS[[#This Row],[FIELD_VALID_CUSTOM_LOGIC]]="",TRUE,DB_TBL_DATA_FIELDS[[#This Row],[FIELD_VALID_CUSTOM_LOGIC]]),DB_TBL_DATA_FIELDS[[#This Row],[RANGE_VALIDATION_PASSED_FLAG]])</f>
        <v>0</v>
      </c>
      <c r="L74"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4" s="1">
        <f ca="1">IF(DB_TBL_DATA_FIELDS[[#This Row],[SHEET_REF_CALC]]="","",IF(DB_TBL_DATA_FIELDS[[#This Row],[FIELD_EMPTY_FLAG]],IF(NOT(DB_TBL_DATA_FIELDS[[#This Row],[FIELD_REQ_FLAG]]),-1,1),IF(NOT(DB_TBL_DATA_FIELDS[[#This Row],[FIELD_VALID_FLAG]]),0,2)))</f>
        <v>1</v>
      </c>
      <c r="N74" s="1" t="str">
        <f ca="1">IFERROR(VLOOKUP(DB_TBL_DATA_FIELDS[[#This Row],[FIELD_STATUS_CODE]],DB_TBL_CONFIG_FIELDSTATUSCODES[#All],3,FALSE),"")</f>
        <v>Required</v>
      </c>
      <c r="O74" s="1" t="str">
        <f ca="1">IFERROR(VLOOKUP(DB_TBL_DATA_FIELDS[[#This Row],[FIELD_STATUS_CODE]],DB_TBL_CONFIG_FIELDSTATUSCODES[#All],4,FALSE),"")</f>
        <v>i</v>
      </c>
      <c r="P74" s="1" t="b">
        <f>TRUE</f>
        <v>1</v>
      </c>
      <c r="Q74" s="1" t="b">
        <f>TRUE</f>
        <v>1</v>
      </c>
      <c r="R74" s="1" t="s">
        <v>39</v>
      </c>
      <c r="S74" s="1">
        <f ca="1">IF(DB_TBL_DATA_FIELDS[[#This Row],[RANGE_VALIDATION_FLAG]]="Text",LEN(DB_TBL_DATA_FIELDS[[#This Row],[FIELD_VALUE_RAW]]),IFERROR(VALUE(DB_TBL_DATA_FIELDS[[#This Row],[FIELD_VALUE_RAW]]),-1))</f>
        <v>-1</v>
      </c>
      <c r="T74" s="1">
        <v>0</v>
      </c>
      <c r="U74" s="1">
        <v>999999999</v>
      </c>
      <c r="V74" s="1" t="b">
        <f ca="1">IF(NOT(DB_TBL_DATA_FIELDS[[#This Row],[RANGE_VALIDATION_ON_FLAG]]),TRUE,
AND(DB_TBL_DATA_FIELDS[[#This Row],[RANGE_VALUE_LEN]]&gt;=DB_TBL_DATA_FIELDS[[#This Row],[RANGE_VALIDATION_MIN]],DB_TBL_DATA_FIELDS[[#This Row],[RANGE_VALUE_LEN]]&lt;=DB_TBL_DATA_FIELDS[[#This Row],[RANGE_VALIDATION_MAX]]))</f>
        <v>0</v>
      </c>
      <c r="W74" s="1">
        <v>1</v>
      </c>
      <c r="X74" s="1">
        <f ca="1">IF(DB_TBL_DATA_FIELDS[[#This Row],[PCT_CALC_SHOW_STATUS_CODE]]=1,
DB_TBL_DATA_FIELDS[[#This Row],[FIELD_STATUS_CODE]],
IF(AND(DB_TBL_DATA_FIELDS[[#This Row],[PCT_CALC_SHOW_STATUS_CODE]]=2,DB_TBL_DATA_FIELDS[[#This Row],[FIELD_STATUS_CODE]]=0),
DB_TBL_DATA_FIELDS[[#This Row],[FIELD_STATUS_CODE]],
"")
)</f>
        <v>1</v>
      </c>
    </row>
    <row r="75" spans="1:26" x14ac:dyDescent="0.2">
      <c r="A75" s="1" t="s">
        <v>2207</v>
      </c>
      <c r="B75" s="16" t="str">
        <f ca="1">IFERROR(IF(FIND(DATA_EFORM_TYPE_CODE,DB_TBL_DATA_FIELDS[[#This Row],[APPLICABLE_EFORM_LIST]])&gt;0,DATA_EFORM_TYPE_CODE,""),"")</f>
        <v>RES</v>
      </c>
      <c r="C75" s="1" t="s">
        <v>2753</v>
      </c>
      <c r="D75" s="1" t="b">
        <v>0</v>
      </c>
      <c r="E75" s="18" t="b">
        <v>1</v>
      </c>
      <c r="F75" s="2" t="s">
        <v>2755</v>
      </c>
      <c r="G75" s="2" t="str">
        <f ca="1">IFERROR(VLOOKUP(DB_TBL_DATA_FIELDS[[#This Row],[FIELD_ID]],INDIRECT(DB_TBL_DATA_FIELDS[[#This Row],[SHEET_REF_CALC]]&amp;"!A:B"),2,FALSE),"")</f>
        <v/>
      </c>
      <c r="I75" s="2" t="b">
        <f ca="1">(DB_TBL_DATA_FIELDS[[#This Row],[FIELD_VALUE_RAW]]="")</f>
        <v>1</v>
      </c>
      <c r="J75" s="2" t="s">
        <v>9</v>
      </c>
      <c r="K75" s="1" t="b">
        <f ca="1">AND(IF(DB_TBL_DATA_FIELDS[[#This Row],[FIELD_VALID_CUSTOM_LOGIC]]="",TRUE,DB_TBL_DATA_FIELDS[[#This Row],[FIELD_VALID_CUSTOM_LOGIC]]),DB_TBL_DATA_FIELDS[[#This Row],[RANGE_VALIDATION_PASSED_FLAG]])</f>
        <v>1</v>
      </c>
      <c r="L75"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5" s="1">
        <f ca="1">IF(DB_TBL_DATA_FIELDS[[#This Row],[SHEET_REF_CALC]]="","",IF(DB_TBL_DATA_FIELDS[[#This Row],[FIELD_EMPTY_FLAG]],IF(NOT(DB_TBL_DATA_FIELDS[[#This Row],[FIELD_REQ_FLAG]]),-1,1),IF(NOT(DB_TBL_DATA_FIELDS[[#This Row],[FIELD_VALID_FLAG]]),0,2)))</f>
        <v>1</v>
      </c>
      <c r="N75" s="1" t="str">
        <f ca="1">IFERROR(VLOOKUP(DB_TBL_DATA_FIELDS[[#This Row],[FIELD_STATUS_CODE]],DB_TBL_CONFIG_FIELDSTATUSCODES[#All],3,FALSE),"")</f>
        <v>Required</v>
      </c>
      <c r="O75" s="1" t="str">
        <f ca="1">IFERROR(VLOOKUP(DB_TBL_DATA_FIELDS[[#This Row],[FIELD_STATUS_CODE]],DB_TBL_CONFIG_FIELDSTATUSCODES[#All],4,FALSE),"")</f>
        <v>i</v>
      </c>
      <c r="P75" s="1" t="b">
        <f>TRUE</f>
        <v>1</v>
      </c>
      <c r="Q75" s="1" t="b">
        <f>TRUE</f>
        <v>1</v>
      </c>
      <c r="R75" s="1" t="s">
        <v>9</v>
      </c>
      <c r="S75" s="1">
        <f ca="1">IF(DB_TBL_DATA_FIELDS[[#This Row],[RANGE_VALIDATION_FLAG]]="Text",LEN(DB_TBL_DATA_FIELDS[[#This Row],[FIELD_VALUE_RAW]]),IFERROR(VALUE(DB_TBL_DATA_FIELDS[[#This Row],[FIELD_VALUE_RAW]]),-1))</f>
        <v>0</v>
      </c>
      <c r="T75" s="1">
        <v>0</v>
      </c>
      <c r="U75" s="1">
        <v>50</v>
      </c>
      <c r="V75" s="1" t="b">
        <f ca="1">IF(NOT(DB_TBL_DATA_FIELDS[[#This Row],[RANGE_VALIDATION_ON_FLAG]]),TRUE,
AND(DB_TBL_DATA_FIELDS[[#This Row],[RANGE_VALUE_LEN]]&gt;=DB_TBL_DATA_FIELDS[[#This Row],[RANGE_VALIDATION_MIN]],DB_TBL_DATA_FIELDS[[#This Row],[RANGE_VALUE_LEN]]&lt;=DB_TBL_DATA_FIELDS[[#This Row],[RANGE_VALIDATION_MAX]]))</f>
        <v>1</v>
      </c>
      <c r="W75" s="1">
        <v>1</v>
      </c>
      <c r="X75" s="1">
        <f ca="1">IF(DB_TBL_DATA_FIELDS[[#This Row],[PCT_CALC_SHOW_STATUS_CODE]]=1,
DB_TBL_DATA_FIELDS[[#This Row],[FIELD_STATUS_CODE]],
IF(AND(DB_TBL_DATA_FIELDS[[#This Row],[PCT_CALC_SHOW_STATUS_CODE]]=2,DB_TBL_DATA_FIELDS[[#This Row],[FIELD_STATUS_CODE]]=0),
DB_TBL_DATA_FIELDS[[#This Row],[FIELD_STATUS_CODE]],
"")
)</f>
        <v>1</v>
      </c>
    </row>
    <row r="76" spans="1:26" x14ac:dyDescent="0.2">
      <c r="A76" s="1" t="s">
        <v>2207</v>
      </c>
      <c r="B76" s="16" t="str">
        <f ca="1">IFERROR(IF(FIND(DATA_EFORM_TYPE_CODE,DB_TBL_DATA_FIELDS[[#This Row],[APPLICABLE_EFORM_LIST]])&gt;0,DATA_EFORM_TYPE_CODE,""),"")</f>
        <v>RES</v>
      </c>
      <c r="C76" s="1" t="s">
        <v>2754</v>
      </c>
      <c r="D76" s="1" t="b">
        <v>0</v>
      </c>
      <c r="E76" s="84" t="b">
        <f ca="1">(DATA_NONPROF_AGCY_NAME_SELECT=COUNSELING_AGENCY_NAME_OTHER)</f>
        <v>0</v>
      </c>
      <c r="F76" s="2" t="s">
        <v>2756</v>
      </c>
      <c r="G76" s="2" t="str">
        <f ca="1">IFERROR(VLOOKUP(DB_TBL_DATA_FIELDS[[#This Row],[FIELD_ID]],INDIRECT(DB_TBL_DATA_FIELDS[[#This Row],[SHEET_REF_CALC]]&amp;"!A:B"),2,FALSE),"")</f>
        <v/>
      </c>
      <c r="H76" s="21" t="str">
        <f ca="1">IF(NOT(DB_TBL_DATA_FIELDS[[#This Row],[FIELD_EMPTY_FLAG]]),DB_TBL_DATA_FIELDS[[#This Row],[FIELD_REQ_FLAG]],"")</f>
        <v/>
      </c>
      <c r="I76" s="2" t="b">
        <f ca="1">(DB_TBL_DATA_FIELDS[[#This Row],[FIELD_VALUE_RAW]]="")</f>
        <v>1</v>
      </c>
      <c r="J76" s="2" t="s">
        <v>9</v>
      </c>
      <c r="K76" s="1" t="b">
        <f ca="1">AND(IF(DB_TBL_DATA_FIELDS[[#This Row],[FIELD_VALID_CUSTOM_LOGIC]]="",TRUE,DB_TBL_DATA_FIELDS[[#This Row],[FIELD_VALID_CUSTOM_LOGIC]]),DB_TBL_DATA_FIELDS[[#This Row],[RANGE_VALIDATION_PASSED_FLAG]])</f>
        <v>1</v>
      </c>
      <c r="L76"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6" s="1">
        <f ca="1">IF(DB_TBL_DATA_FIELDS[[#This Row],[SHEET_REF_CALC]]="","",IF(DB_TBL_DATA_FIELDS[[#This Row],[FIELD_EMPTY_FLAG]],IF(NOT(DB_TBL_DATA_FIELDS[[#This Row],[FIELD_REQ_FLAG]]),-1,1),IF(NOT(DB_TBL_DATA_FIELDS[[#This Row],[FIELD_VALID_FLAG]]),0,2)))</f>
        <v>-1</v>
      </c>
      <c r="N76" s="1" t="str">
        <f ca="1">IFERROR(VLOOKUP(DB_TBL_DATA_FIELDS[[#This Row],[FIELD_STATUS_CODE]],DB_TBL_CONFIG_FIELDSTATUSCODES[#All],3,FALSE),"")</f>
        <v>Optional</v>
      </c>
      <c r="O76" s="1" t="str">
        <f ca="1">IFERROR(VLOOKUP(DB_TBL_DATA_FIELDS[[#This Row],[FIELD_STATUS_CODE]],DB_TBL_CONFIG_FIELDSTATUSCODES[#All],4,FALSE),"")</f>
        <v xml:space="preserve"> </v>
      </c>
      <c r="P76" s="1" t="b">
        <f>TRUE</f>
        <v>1</v>
      </c>
      <c r="Q76" s="1" t="b">
        <f>TRUE</f>
        <v>1</v>
      </c>
      <c r="R76" s="1" t="s">
        <v>9</v>
      </c>
      <c r="S76" s="1">
        <f ca="1">IF(DB_TBL_DATA_FIELDS[[#This Row],[RANGE_VALIDATION_FLAG]]="Text",LEN(DB_TBL_DATA_FIELDS[[#This Row],[FIELD_VALUE_RAW]]),IFERROR(VALUE(DB_TBL_DATA_FIELDS[[#This Row],[FIELD_VALUE_RAW]]),-1))</f>
        <v>0</v>
      </c>
      <c r="T76" s="1">
        <v>0</v>
      </c>
      <c r="U76" s="1">
        <v>50</v>
      </c>
      <c r="V76" s="1" t="b">
        <f ca="1">IF(NOT(DB_TBL_DATA_FIELDS[[#This Row],[RANGE_VALIDATION_ON_FLAG]]),TRUE,
AND(DB_TBL_DATA_FIELDS[[#This Row],[RANGE_VALUE_LEN]]&gt;=DB_TBL_DATA_FIELDS[[#This Row],[RANGE_VALIDATION_MIN]],DB_TBL_DATA_FIELDS[[#This Row],[RANGE_VALUE_LEN]]&lt;=DB_TBL_DATA_FIELDS[[#This Row],[RANGE_VALIDATION_MAX]]))</f>
        <v>1</v>
      </c>
      <c r="W76" s="1">
        <v>1</v>
      </c>
      <c r="X76" s="1">
        <f ca="1">IF(DB_TBL_DATA_FIELDS[[#This Row],[PCT_CALC_SHOW_STATUS_CODE]]=1,
DB_TBL_DATA_FIELDS[[#This Row],[FIELD_STATUS_CODE]],
IF(AND(DB_TBL_DATA_FIELDS[[#This Row],[PCT_CALC_SHOW_STATUS_CODE]]=2,DB_TBL_DATA_FIELDS[[#This Row],[FIELD_STATUS_CODE]]=0),
DB_TBL_DATA_FIELDS[[#This Row],[FIELD_STATUS_CODE]],
"")
)</f>
        <v>-1</v>
      </c>
    </row>
    <row r="77" spans="1:26" x14ac:dyDescent="0.2">
      <c r="A77" s="1" t="s">
        <v>2207</v>
      </c>
      <c r="B77" s="16" t="str">
        <f ca="1">IFERROR(IF(FIND(DATA_EFORM_TYPE_CODE,DB_TBL_DATA_FIELDS[[#This Row],[APPLICABLE_EFORM_LIST]])&gt;0,DATA_EFORM_TYPE_CODE,""),"")</f>
        <v>RES</v>
      </c>
      <c r="C77" s="1" t="s">
        <v>2316</v>
      </c>
      <c r="D77" s="1" t="b">
        <v>1</v>
      </c>
      <c r="E77" s="18" t="b">
        <v>1</v>
      </c>
      <c r="F77" s="2" t="s">
        <v>2757</v>
      </c>
      <c r="G77" s="21" t="str">
        <f ca="1">IF(DATA_NONPROF_AGCY_NAME_SELECT="","",
IF(DATA_NONPROF_AGCY_NAME_SELECT=COUNSELING_AGENCY_NAME_OTHER,DATA_NONPROF_AGCY_NAME_OTHER,DATA_NONPROF_AGCY_NAME_SELECT))</f>
        <v/>
      </c>
      <c r="I77" s="2" t="b">
        <f ca="1">(DB_TBL_DATA_FIELDS[[#This Row],[FIELD_VALUE_RAW]]="")</f>
        <v>1</v>
      </c>
      <c r="J77" s="2" t="s">
        <v>9</v>
      </c>
      <c r="K77" s="1" t="b">
        <f ca="1">AND(IF(DB_TBL_DATA_FIELDS[[#This Row],[FIELD_VALID_CUSTOM_LOGIC]]="",TRUE,DB_TBL_DATA_FIELDS[[#This Row],[FIELD_VALID_CUSTOM_LOGIC]]),DB_TBL_DATA_FIELDS[[#This Row],[RANGE_VALIDATION_PASSED_FLAG]])</f>
        <v>1</v>
      </c>
      <c r="L7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7" s="1">
        <f ca="1">IF(DB_TBL_DATA_FIELDS[[#This Row],[SHEET_REF_CALC]]="","",IF(DB_TBL_DATA_FIELDS[[#This Row],[FIELD_EMPTY_FLAG]],IF(NOT(DB_TBL_DATA_FIELDS[[#This Row],[FIELD_REQ_FLAG]]),-1,1),IF(NOT(DB_TBL_DATA_FIELDS[[#This Row],[FIELD_VALID_FLAG]]),0,2)))</f>
        <v>1</v>
      </c>
      <c r="N77" s="1" t="str">
        <f ca="1">IFERROR(VLOOKUP(DB_TBL_DATA_FIELDS[[#This Row],[FIELD_STATUS_CODE]],DB_TBL_CONFIG_FIELDSTATUSCODES[#All],3,FALSE),"")</f>
        <v>Required</v>
      </c>
      <c r="O77" s="1" t="str">
        <f ca="1">IFERROR(VLOOKUP(DB_TBL_DATA_FIELDS[[#This Row],[FIELD_STATUS_CODE]],DB_TBL_CONFIG_FIELDSTATUSCODES[#All],4,FALSE),"")</f>
        <v>i</v>
      </c>
      <c r="P77" s="1" t="b">
        <f>TRUE</f>
        <v>1</v>
      </c>
      <c r="Q77" s="1" t="b">
        <f>TRUE</f>
        <v>1</v>
      </c>
      <c r="R77" s="1" t="s">
        <v>9</v>
      </c>
      <c r="S77" s="1">
        <f ca="1">IF(DB_TBL_DATA_FIELDS[[#This Row],[RANGE_VALIDATION_FLAG]]="Text",LEN(DB_TBL_DATA_FIELDS[[#This Row],[FIELD_VALUE_RAW]]),IFERROR(VALUE(DB_TBL_DATA_FIELDS[[#This Row],[FIELD_VALUE_RAW]]),-1))</f>
        <v>0</v>
      </c>
      <c r="T77" s="1">
        <v>0</v>
      </c>
      <c r="U77" s="1">
        <v>50</v>
      </c>
      <c r="V77" s="1" t="b">
        <f ca="1">IF(NOT(DB_TBL_DATA_FIELDS[[#This Row],[RANGE_VALIDATION_ON_FLAG]]),TRUE,
AND(DB_TBL_DATA_FIELDS[[#This Row],[RANGE_VALUE_LEN]]&gt;=DB_TBL_DATA_FIELDS[[#This Row],[RANGE_VALIDATION_MIN]],DB_TBL_DATA_FIELDS[[#This Row],[RANGE_VALUE_LEN]]&lt;=DB_TBL_DATA_FIELDS[[#This Row],[RANGE_VALIDATION_MAX]]))</f>
        <v>1</v>
      </c>
      <c r="W77" s="1">
        <v>0</v>
      </c>
      <c r="X77" s="1" t="str">
        <f ca="1">IF(DB_TBL_DATA_FIELDS[[#This Row],[PCT_CALC_SHOW_STATUS_CODE]]=1,
DB_TBL_DATA_FIELDS[[#This Row],[FIELD_STATUS_CODE]],
IF(AND(DB_TBL_DATA_FIELDS[[#This Row],[PCT_CALC_SHOW_STATUS_CODE]]=2,DB_TBL_DATA_FIELDS[[#This Row],[FIELD_STATUS_CODE]]=0),
DB_TBL_DATA_FIELDS[[#This Row],[FIELD_STATUS_CODE]],
"")
)</f>
        <v/>
      </c>
    </row>
    <row r="78" spans="1:26" ht="13.5" thickBot="1" x14ac:dyDescent="0.25">
      <c r="A78" s="156" t="s">
        <v>2207</v>
      </c>
      <c r="B78" s="157" t="str">
        <f ca="1">IFERROR(IF(FIND(DATA_EFORM_TYPE_CODE,DB_TBL_DATA_FIELDS[[#This Row],[APPLICABLE_EFORM_LIST]])&gt;0,DATA_EFORM_TYPE_CODE,""),"")</f>
        <v>RES</v>
      </c>
      <c r="C78" s="156" t="s">
        <v>2371</v>
      </c>
      <c r="D78" s="156" t="b">
        <v>1</v>
      </c>
      <c r="E78" s="158" t="b">
        <v>1</v>
      </c>
      <c r="F78" s="159" t="s">
        <v>2372</v>
      </c>
      <c r="G78" s="159" t="str">
        <f ca="1">IFERROR(VLOOKUP(DB_TBL_DATA_FIELDS[[#This Row],[FIELD_ID]],INDIRECT(DB_TBL_DATA_FIELDS[[#This Row],[SHEET_REF_CALC]]&amp;"!A:B"),2,FALSE),"")</f>
        <v/>
      </c>
      <c r="H78" s="172" t="str">
        <f ca="1">IF(AND(DATA_CNSLNG_COMPLETE_DATE&lt;&gt;"",DATA_RESERVATION_DATE&lt;&gt;""),
IF(OR(DATA_CNSLNG_COMPLETE_DATE&gt;DATA_RESERVATION_DATE,DATA_CNSLNG_COMPLETE_DATE&lt;DATE(YEAR(DATA_RESERVATION_DATE)-CONFIG_COUNSEL_DATE_AGE_MAX,MONTH(DATA_RESERVATION_DATE),DAY(DATA_RESERVATION_DATE))),FALSE,TRUE),"")</f>
        <v/>
      </c>
      <c r="I78" s="159" t="b">
        <f ca="1">(DB_TBL_DATA_FIELDS[[#This Row],[FIELD_VALUE_RAW]]="")</f>
        <v>1</v>
      </c>
      <c r="J78" s="159" t="s">
        <v>31</v>
      </c>
      <c r="K78" s="156" t="b">
        <f ca="1">AND(IF(DB_TBL_DATA_FIELDS[[#This Row],[FIELD_VALID_CUSTOM_LOGIC]]="",TRUE,DB_TBL_DATA_FIELDS[[#This Row],[FIELD_VALID_CUSTOM_LOGIC]]),DB_TBL_DATA_FIELDS[[#This Row],[RANGE_VALIDATION_PASSED_FLAG]])</f>
        <v>1</v>
      </c>
      <c r="L78" s="159"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8" s="156">
        <f ca="1">IF(DB_TBL_DATA_FIELDS[[#This Row],[SHEET_REF_CALC]]="","",IF(DB_TBL_DATA_FIELDS[[#This Row],[FIELD_EMPTY_FLAG]],IF(NOT(DB_TBL_DATA_FIELDS[[#This Row],[FIELD_REQ_FLAG]]),-1,1),IF(NOT(DB_TBL_DATA_FIELDS[[#This Row],[FIELD_VALID_FLAG]]),0,2)))</f>
        <v>1</v>
      </c>
      <c r="N78" s="156" t="str">
        <f ca="1">IFERROR(VLOOKUP(DB_TBL_DATA_FIELDS[[#This Row],[FIELD_STATUS_CODE]],DB_TBL_CONFIG_FIELDSTATUSCODES[#All],3,FALSE),"")</f>
        <v>Required</v>
      </c>
      <c r="O78" s="156" t="str">
        <f ca="1">IFERROR(VLOOKUP(DB_TBL_DATA_FIELDS[[#This Row],[FIELD_STATUS_CODE]],DB_TBL_CONFIG_FIELDSTATUSCODES[#All],4,FALSE),"")</f>
        <v>i</v>
      </c>
      <c r="P78" s="156" t="b">
        <f>TRUE</f>
        <v>1</v>
      </c>
      <c r="Q78" s="156" t="b">
        <v>0</v>
      </c>
      <c r="R78" s="156"/>
      <c r="S78" s="156">
        <f ca="1">IF(DB_TBL_DATA_FIELDS[[#This Row],[RANGE_VALIDATION_FLAG]]="Text",LEN(DB_TBL_DATA_FIELDS[[#This Row],[FIELD_VALUE_RAW]]),IFERROR(VALUE(DB_TBL_DATA_FIELDS[[#This Row],[FIELD_VALUE_RAW]]),-1))</f>
        <v>-1</v>
      </c>
      <c r="T78" s="156"/>
      <c r="U78" s="156"/>
      <c r="V78" s="156" t="b">
        <f>IF(NOT(DB_TBL_DATA_FIELDS[[#This Row],[RANGE_VALIDATION_ON_FLAG]]),TRUE,
AND(DB_TBL_DATA_FIELDS[[#This Row],[RANGE_VALUE_LEN]]&gt;=DB_TBL_DATA_FIELDS[[#This Row],[RANGE_VALIDATION_MIN]],DB_TBL_DATA_FIELDS[[#This Row],[RANGE_VALUE_LEN]]&lt;=DB_TBL_DATA_FIELDS[[#This Row],[RANGE_VALIDATION_MAX]]))</f>
        <v>1</v>
      </c>
      <c r="W78" s="156">
        <v>1</v>
      </c>
      <c r="X78" s="156">
        <f ca="1">IF(DB_TBL_DATA_FIELDS[[#This Row],[PCT_CALC_SHOW_STATUS_CODE]]=1,
DB_TBL_DATA_FIELDS[[#This Row],[FIELD_STATUS_CODE]],
IF(AND(DB_TBL_DATA_FIELDS[[#This Row],[PCT_CALC_SHOW_STATUS_CODE]]=2,DB_TBL_DATA_FIELDS[[#This Row],[FIELD_STATUS_CODE]]=0),
DB_TBL_DATA_FIELDS[[#This Row],[FIELD_STATUS_CODE]],
"")
)</f>
        <v>1</v>
      </c>
      <c r="Y78" s="156" t="str">
        <f ca="1">IF(DB_TBL_DATA_FIELDS[[#This Row],[FIELD_STATUS_CODE]]=0,IF(NOT(DB_TBL_DATA_FIELDS[[#This Row],[FIELD_VALID_CUSTOM_LOGIC]]),
IF(DATA_CNSLNG_COMPLETE_DATE&gt;DATA_RESERVATION_DATE,"Must not be after Reservation Submission Date","Must be within "&amp;CONFIG_COUNSEL_DATE_AGE_MAX&amp;" year"&amp;IF(CONFIG_COUNSEL_DATE_AGE_MAX&lt;&gt;1,"s","")&amp;" of Reservation Submission Date"),""),"")</f>
        <v/>
      </c>
      <c r="Z78" s="156"/>
    </row>
    <row r="79" spans="1:26" x14ac:dyDescent="0.2">
      <c r="A79" s="1" t="s">
        <v>2208</v>
      </c>
      <c r="B79" s="16" t="str">
        <f ca="1">IFERROR(IF(FIND(DATA_EFORM_TYPE_CODE,DB_TBL_DATA_FIELDS[[#This Row],[APPLICABLE_EFORM_LIST]])&gt;0,DATA_EFORM_TYPE_CODE,""),"")</f>
        <v/>
      </c>
      <c r="C79" s="1" t="s">
        <v>2518</v>
      </c>
      <c r="D79" s="1" t="b">
        <v>1</v>
      </c>
      <c r="E79" s="18" t="b">
        <v>1</v>
      </c>
      <c r="F79" s="2" t="s">
        <v>2519</v>
      </c>
      <c r="G79" s="2" t="str">
        <f ca="1">IFERROR(VLOOKUP(DB_TBL_DATA_FIELDS[[#This Row],[FIELD_ID]],INDIRECT(DB_TBL_DATA_FIELDS[[#This Row],[SHEET_REF_CALC]]&amp;"!A:B"),2,FALSE),"")</f>
        <v/>
      </c>
      <c r="I79" s="2" t="b">
        <f ca="1">(DB_TBL_DATA_FIELDS[[#This Row],[FIELD_VALUE_RAW]]="")</f>
        <v>1</v>
      </c>
      <c r="J79" s="2" t="s">
        <v>9</v>
      </c>
      <c r="K79" s="1" t="b">
        <f ca="1">AND(IF(DB_TBL_DATA_FIELDS[[#This Row],[FIELD_VALID_CUSTOM_LOGIC]]="",TRUE,DB_TBL_DATA_FIELDS[[#This Row],[FIELD_VALID_CUSTOM_LOGIC]]),DB_TBL_DATA_FIELDS[[#This Row],[RANGE_VALIDATION_PASSED_FLAG]])</f>
        <v>0</v>
      </c>
      <c r="L79"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9" s="1" t="str">
        <f ca="1">IF(DB_TBL_DATA_FIELDS[[#This Row],[SHEET_REF_CALC]]="","",IF(DB_TBL_DATA_FIELDS[[#This Row],[FIELD_EMPTY_FLAG]],IF(NOT(DB_TBL_DATA_FIELDS[[#This Row],[FIELD_REQ_FLAG]]),-1,1),IF(NOT(DB_TBL_DATA_FIELDS[[#This Row],[FIELD_VALID_FLAG]]),0,2)))</f>
        <v/>
      </c>
      <c r="N79" s="1" t="str">
        <f ca="1">IFERROR(VLOOKUP(DB_TBL_DATA_FIELDS[[#This Row],[FIELD_STATUS_CODE]],DB_TBL_CONFIG_FIELDSTATUSCODES[#All],3,FALSE),"")</f>
        <v/>
      </c>
      <c r="O79" s="1" t="str">
        <f ca="1">IFERROR(VLOOKUP(DB_TBL_DATA_FIELDS[[#This Row],[FIELD_STATUS_CODE]],DB_TBL_CONFIG_FIELDSTATUSCODES[#All],4,FALSE),"")</f>
        <v/>
      </c>
      <c r="P79" s="1" t="b">
        <f>TRUE</f>
        <v>1</v>
      </c>
      <c r="Q79" s="1" t="b">
        <f>TRUE</f>
        <v>1</v>
      </c>
      <c r="R79" s="1" t="s">
        <v>9</v>
      </c>
      <c r="S79" s="1">
        <f ca="1">IF(DB_TBL_DATA_FIELDS[[#This Row],[RANGE_VALIDATION_FLAG]]="Text",LEN(DB_TBL_DATA_FIELDS[[#This Row],[FIELD_VALUE_RAW]]),IFERROR(VALUE(DB_TBL_DATA_FIELDS[[#This Row],[FIELD_VALUE_RAW]]),-1))</f>
        <v>0</v>
      </c>
      <c r="T79" s="1">
        <v>1</v>
      </c>
      <c r="U79" s="1">
        <v>400</v>
      </c>
      <c r="V79" s="1" t="b">
        <f ca="1">IF(NOT(DB_TBL_DATA_FIELDS[[#This Row],[RANGE_VALIDATION_ON_FLAG]]),TRUE,
AND(DB_TBL_DATA_FIELDS[[#This Row],[RANGE_VALUE_LEN]]&gt;=DB_TBL_DATA_FIELDS[[#This Row],[RANGE_VALIDATION_MIN]],DB_TBL_DATA_FIELDS[[#This Row],[RANGE_VALUE_LEN]]&lt;=DB_TBL_DATA_FIELDS[[#This Row],[RANGE_VALIDATION_MAX]]))</f>
        <v>0</v>
      </c>
      <c r="W79" s="1">
        <v>1</v>
      </c>
      <c r="X79" s="1" t="str">
        <f ca="1">IF(DB_TBL_DATA_FIELDS[[#This Row],[PCT_CALC_SHOW_STATUS_CODE]]=1,
DB_TBL_DATA_FIELDS[[#This Row],[FIELD_STATUS_CODE]],
IF(AND(DB_TBL_DATA_FIELDS[[#This Row],[PCT_CALC_SHOW_STATUS_CODE]]=2,DB_TBL_DATA_FIELDS[[#This Row],[FIELD_STATUS_CODE]]=0),
DB_TBL_DATA_FIELDS[[#This Row],[FIELD_STATUS_CODE]],
"")
)</f>
        <v/>
      </c>
    </row>
    <row r="80" spans="1:26" x14ac:dyDescent="0.2">
      <c r="A80" s="1" t="s">
        <v>2208</v>
      </c>
      <c r="B80" s="16" t="str">
        <f ca="1">IFERROR(IF(FIND(DATA_EFORM_TYPE_CODE,DB_TBL_DATA_FIELDS[[#This Row],[APPLICABLE_EFORM_LIST]])&gt;0,DATA_EFORM_TYPE_CODE,""),"")</f>
        <v/>
      </c>
      <c r="C80" s="1" t="s">
        <v>2893</v>
      </c>
      <c r="D80" s="1" t="b">
        <v>1</v>
      </c>
      <c r="E80" s="18" t="b">
        <v>0</v>
      </c>
      <c r="F80" s="2" t="s">
        <v>2895</v>
      </c>
      <c r="G80" s="2" t="str">
        <f ca="1">IFERROR(VLOOKUP(DB_TBL_DATA_FIELDS[[#This Row],[FIELD_ID]],INDIRECT(DB_TBL_DATA_FIELDS[[#This Row],[SHEET_REF_CALC]]&amp;"!A:B"),2,FALSE),"")</f>
        <v/>
      </c>
      <c r="I80" s="2" t="b">
        <f ca="1">(DB_TBL_DATA_FIELDS[[#This Row],[FIELD_VALUE_RAW]]="")</f>
        <v>1</v>
      </c>
      <c r="J80" s="2" t="s">
        <v>140</v>
      </c>
      <c r="K80" s="1" t="b">
        <f>AND(IF(DB_TBL_DATA_FIELDS[[#This Row],[FIELD_VALID_CUSTOM_LOGIC]]="",TRUE,DB_TBL_DATA_FIELDS[[#This Row],[FIELD_VALID_CUSTOM_LOGIC]]),DB_TBL_DATA_FIELDS[[#This Row],[RANGE_VALIDATION_PASSED_FLAG]])</f>
        <v>1</v>
      </c>
      <c r="L80"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0" s="1" t="str">
        <f ca="1">IF(DB_TBL_DATA_FIELDS[[#This Row],[SHEET_REF_CALC]]="","",IF(DB_TBL_DATA_FIELDS[[#This Row],[FIELD_EMPTY_FLAG]],IF(NOT(DB_TBL_DATA_FIELDS[[#This Row],[FIELD_REQ_FLAG]]),-1,1),IF(NOT(DB_TBL_DATA_FIELDS[[#This Row],[FIELD_VALID_FLAG]]),0,2)))</f>
        <v/>
      </c>
      <c r="N80" s="1" t="str">
        <f ca="1">IFERROR(VLOOKUP(DB_TBL_DATA_FIELDS[[#This Row],[FIELD_STATUS_CODE]],DB_TBL_CONFIG_FIELDSTATUSCODES[#All],3,FALSE),"")</f>
        <v/>
      </c>
      <c r="O80" s="1" t="str">
        <f ca="1">IFERROR(VLOOKUP(DB_TBL_DATA_FIELDS[[#This Row],[FIELD_STATUS_CODE]],DB_TBL_CONFIG_FIELDSTATUSCODES[#All],4,FALSE),"")</f>
        <v/>
      </c>
      <c r="P80" s="1" t="b">
        <f>TRUE</f>
        <v>1</v>
      </c>
      <c r="Q80" s="1" t="b">
        <v>0</v>
      </c>
      <c r="S80" s="1">
        <f ca="1">IF(DB_TBL_DATA_FIELDS[[#This Row],[RANGE_VALIDATION_FLAG]]="Text",LEN(DB_TBL_DATA_FIELDS[[#This Row],[FIELD_VALUE_RAW]]),IFERROR(VALUE(DB_TBL_DATA_FIELDS[[#This Row],[FIELD_VALUE_RAW]]),-1))</f>
        <v>-1</v>
      </c>
      <c r="V80" s="1" t="b">
        <f>IF(NOT(DB_TBL_DATA_FIELDS[[#This Row],[RANGE_VALIDATION_ON_FLAG]]),TRUE,
AND(DB_TBL_DATA_FIELDS[[#This Row],[RANGE_VALUE_LEN]]&gt;=DB_TBL_DATA_FIELDS[[#This Row],[RANGE_VALIDATION_MIN]],DB_TBL_DATA_FIELDS[[#This Row],[RANGE_VALUE_LEN]]&lt;=DB_TBL_DATA_FIELDS[[#This Row],[RANGE_VALIDATION_MAX]]))</f>
        <v>1</v>
      </c>
      <c r="W80" s="1">
        <v>1</v>
      </c>
      <c r="X80" s="1" t="str">
        <f ca="1">IF(DB_TBL_DATA_FIELDS[[#This Row],[PCT_CALC_SHOW_STATUS_CODE]]=1,
DB_TBL_DATA_FIELDS[[#This Row],[FIELD_STATUS_CODE]],
IF(AND(DB_TBL_DATA_FIELDS[[#This Row],[PCT_CALC_SHOW_STATUS_CODE]]=2,DB_TBL_DATA_FIELDS[[#This Row],[FIELD_STATUS_CODE]]=0),
DB_TBL_DATA_FIELDS[[#This Row],[FIELD_STATUS_CODE]],
"")
)</f>
        <v/>
      </c>
      <c r="Y80" s="1"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row>
    <row r="81" spans="1:26" ht="13.5" thickBot="1" x14ac:dyDescent="0.25">
      <c r="A81" s="104" t="s">
        <v>2208</v>
      </c>
      <c r="B81" s="108" t="str">
        <f ca="1">IFERROR(IF(FIND(DATA_EFORM_TYPE_CODE,DB_TBL_DATA_FIELDS[[#This Row],[APPLICABLE_EFORM_LIST]])&gt;0,DATA_EFORM_TYPE_CODE,""),"")</f>
        <v/>
      </c>
      <c r="C81" s="104" t="s">
        <v>2894</v>
      </c>
      <c r="D81" s="104" t="b">
        <v>1</v>
      </c>
      <c r="E81" s="170" t="b">
        <f ca="1">(DATA_ADL_ICW_FLAG=TRUE)</f>
        <v>0</v>
      </c>
      <c r="F81" s="106" t="s">
        <v>2896</v>
      </c>
      <c r="G81" s="106" t="str">
        <f ca="1">IFERROR(VLOOKUP(DB_TBL_DATA_FIELDS[[#This Row],[FIELD_ID]],INDIRECT(DB_TBL_DATA_FIELDS[[#This Row],[SHEET_REF_CALC]]&amp;"!A:B"),2,FALSE),"")</f>
        <v/>
      </c>
      <c r="H81" s="107" t="str">
        <f ca="1">IF(NOT(DB_TBL_DATA_FIELDS[[#This Row],[FIELD_EMPTY_FLAG]]),DB_TBL_DATA_FIELDS[[#This Row],[FIELD_REQ_FLAG]],"")</f>
        <v/>
      </c>
      <c r="I81" s="106" t="b">
        <f ca="1">(DB_TBL_DATA_FIELDS[[#This Row],[FIELD_VALUE_RAW]]="")</f>
        <v>1</v>
      </c>
      <c r="J81" s="106" t="s">
        <v>31</v>
      </c>
      <c r="K81" s="104" t="b">
        <f ca="1">AND(IF(DB_TBL_DATA_FIELDS[[#This Row],[FIELD_VALID_CUSTOM_LOGIC]]="",TRUE,DB_TBL_DATA_FIELDS[[#This Row],[FIELD_VALID_CUSTOM_LOGIC]]),DB_TBL_DATA_FIELDS[[#This Row],[RANGE_VALIDATION_PASSED_FLAG]])</f>
        <v>1</v>
      </c>
      <c r="L81" s="1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1" s="104" t="str">
        <f ca="1">IF(DB_TBL_DATA_FIELDS[[#This Row],[SHEET_REF_CALC]]="","",IF(DB_TBL_DATA_FIELDS[[#This Row],[FIELD_EMPTY_FLAG]],IF(NOT(DB_TBL_DATA_FIELDS[[#This Row],[FIELD_REQ_FLAG]]),-1,1),IF(NOT(DB_TBL_DATA_FIELDS[[#This Row],[FIELD_VALID_FLAG]]),0,2)))</f>
        <v/>
      </c>
      <c r="N81" s="104" t="str">
        <f ca="1">IFERROR(VLOOKUP(DB_TBL_DATA_FIELDS[[#This Row],[FIELD_STATUS_CODE]],DB_TBL_CONFIG_FIELDSTATUSCODES[#All],3,FALSE),"")</f>
        <v/>
      </c>
      <c r="O81" s="104" t="str">
        <f ca="1">IFERROR(VLOOKUP(DB_TBL_DATA_FIELDS[[#This Row],[FIELD_STATUS_CODE]],DB_TBL_CONFIG_FIELDSTATUSCODES[#All],4,FALSE),"")</f>
        <v/>
      </c>
      <c r="P81" s="104" t="b">
        <f>TRUE</f>
        <v>1</v>
      </c>
      <c r="Q81" s="104" t="b">
        <v>0</v>
      </c>
      <c r="R81" s="104"/>
      <c r="S81" s="104">
        <f ca="1">IF(DB_TBL_DATA_FIELDS[[#This Row],[RANGE_VALIDATION_FLAG]]="Text",LEN(DB_TBL_DATA_FIELDS[[#This Row],[FIELD_VALUE_RAW]]),IFERROR(VALUE(DB_TBL_DATA_FIELDS[[#This Row],[FIELD_VALUE_RAW]]),-1))</f>
        <v>-1</v>
      </c>
      <c r="T81" s="104"/>
      <c r="U81" s="104"/>
      <c r="V81" s="104" t="b">
        <f>IF(NOT(DB_TBL_DATA_FIELDS[[#This Row],[RANGE_VALIDATION_ON_FLAG]]),TRUE,
AND(DB_TBL_DATA_FIELDS[[#This Row],[RANGE_VALUE_LEN]]&gt;=DB_TBL_DATA_FIELDS[[#This Row],[RANGE_VALIDATION_MIN]],DB_TBL_DATA_FIELDS[[#This Row],[RANGE_VALUE_LEN]]&lt;=DB_TBL_DATA_FIELDS[[#This Row],[RANGE_VALIDATION_MAX]]))</f>
        <v>1</v>
      </c>
      <c r="W81" s="104">
        <v>1</v>
      </c>
      <c r="X81" s="104" t="str">
        <f ca="1">IF(DB_TBL_DATA_FIELDS[[#This Row],[PCT_CALC_SHOW_STATUS_CODE]]=1,
DB_TBL_DATA_FIELDS[[#This Row],[FIELD_STATUS_CODE]],
IF(AND(DB_TBL_DATA_FIELDS[[#This Row],[PCT_CALC_SHOW_STATUS_CODE]]=2,DB_TBL_DATA_FIELDS[[#This Row],[FIELD_STATUS_CODE]]=0),
DB_TBL_DATA_FIELDS[[#This Row],[FIELD_STATUS_CODE]],
"")
)</f>
        <v/>
      </c>
      <c r="Y81" s="104"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81" s="104"/>
    </row>
    <row r="82" spans="1:26" x14ac:dyDescent="0.2">
      <c r="A82" s="1" t="s">
        <v>2520</v>
      </c>
      <c r="B82" s="16" t="str">
        <f ca="1">IFERROR(IF(FIND(DATA_EFORM_TYPE_CODE,DB_TBL_DATA_FIELDS[[#This Row],[APPLICABLE_EFORM_LIST]])&gt;0,DATA_EFORM_TYPE_CODE,""),"")</f>
        <v/>
      </c>
      <c r="C82" s="1" t="s">
        <v>2521</v>
      </c>
      <c r="D82" s="1" t="b">
        <v>1</v>
      </c>
      <c r="E82" s="18" t="b">
        <v>1</v>
      </c>
      <c r="F82" s="2" t="s">
        <v>2522</v>
      </c>
      <c r="G82" s="2" t="str">
        <f ca="1">IFERROR(VLOOKUP(DB_TBL_DATA_FIELDS[[#This Row],[FIELD_ID]],INDIRECT(DB_TBL_DATA_FIELDS[[#This Row],[SHEET_REF_CALC]]&amp;"!A:B"),2,FALSE),"")</f>
        <v/>
      </c>
      <c r="I82" s="2" t="b">
        <f ca="1">(DB_TBL_DATA_FIELDS[[#This Row],[FIELD_VALUE_RAW]]="")</f>
        <v>1</v>
      </c>
      <c r="J82" s="2" t="s">
        <v>39</v>
      </c>
      <c r="K82" s="1" t="b">
        <f ca="1">AND(IF(DB_TBL_DATA_FIELDS[[#This Row],[FIELD_VALID_CUSTOM_LOGIC]]="",TRUE,DB_TBL_DATA_FIELDS[[#This Row],[FIELD_VALID_CUSTOM_LOGIC]]),DB_TBL_DATA_FIELDS[[#This Row],[RANGE_VALIDATION_PASSED_FLAG]])</f>
        <v>0</v>
      </c>
      <c r="L82"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2" s="1" t="str">
        <f ca="1">IF(DB_TBL_DATA_FIELDS[[#This Row],[SHEET_REF_CALC]]="","",IF(DB_TBL_DATA_FIELDS[[#This Row],[FIELD_EMPTY_FLAG]],IF(NOT(DB_TBL_DATA_FIELDS[[#This Row],[FIELD_REQ_FLAG]]),-1,1),IF(NOT(DB_TBL_DATA_FIELDS[[#This Row],[FIELD_VALID_FLAG]]),0,2)))</f>
        <v/>
      </c>
      <c r="N82" s="1" t="str">
        <f ca="1">IFERROR(VLOOKUP(DB_TBL_DATA_FIELDS[[#This Row],[FIELD_STATUS_CODE]],DB_TBL_CONFIG_FIELDSTATUSCODES[#All],3,FALSE),"")</f>
        <v/>
      </c>
      <c r="O82" s="1" t="str">
        <f ca="1">IFERROR(VLOOKUP(DB_TBL_DATA_FIELDS[[#This Row],[FIELD_STATUS_CODE]],DB_TBL_CONFIG_FIELDSTATUSCODES[#All],4,FALSE),"")</f>
        <v/>
      </c>
      <c r="P82" s="1" t="b">
        <f>TRUE</f>
        <v>1</v>
      </c>
      <c r="Q82" s="1" t="b">
        <v>1</v>
      </c>
      <c r="R82" s="1" t="s">
        <v>39</v>
      </c>
      <c r="S82" s="1">
        <f ca="1">IF(DB_TBL_DATA_FIELDS[[#This Row],[RANGE_VALIDATION_FLAG]]="Text",LEN(DB_TBL_DATA_FIELDS[[#This Row],[FIELD_VALUE_RAW]]),IFERROR(VALUE(DB_TBL_DATA_FIELDS[[#This Row],[FIELD_VALUE_RAW]]),-1))</f>
        <v>-1</v>
      </c>
      <c r="T82" s="118">
        <f>CONFIG_MIN_HOUSEHOLD_ID_CURR</f>
        <v>45000</v>
      </c>
      <c r="U82" s="1">
        <v>999999</v>
      </c>
      <c r="V82" s="1" t="b">
        <f ca="1">IF(NOT(DB_TBL_DATA_FIELDS[[#This Row],[RANGE_VALIDATION_ON_FLAG]]),TRUE,
AND(DB_TBL_DATA_FIELDS[[#This Row],[RANGE_VALUE_LEN]]&gt;=DB_TBL_DATA_FIELDS[[#This Row],[RANGE_VALIDATION_MIN]],DB_TBL_DATA_FIELDS[[#This Row],[RANGE_VALUE_LEN]]&lt;=DB_TBL_DATA_FIELDS[[#This Row],[RANGE_VALIDATION_MAX]]))</f>
        <v>0</v>
      </c>
      <c r="W82" s="1">
        <v>1</v>
      </c>
      <c r="X82" s="1" t="str">
        <f ca="1">IF(DB_TBL_DATA_FIELDS[[#This Row],[PCT_CALC_SHOW_STATUS_CODE]]=1,
DB_TBL_DATA_FIELDS[[#This Row],[FIELD_STATUS_CODE]],
IF(AND(DB_TBL_DATA_FIELDS[[#This Row],[PCT_CALC_SHOW_STATUS_CODE]]=2,DB_TBL_DATA_FIELDS[[#This Row],[FIELD_STATUS_CODE]]=0),
DB_TBL_DATA_FIELDS[[#This Row],[FIELD_STATUS_CODE]],
"")
)</f>
        <v/>
      </c>
    </row>
    <row r="83" spans="1:26" ht="13.5" thickBot="1" x14ac:dyDescent="0.25">
      <c r="A83" s="104" t="s">
        <v>2520</v>
      </c>
      <c r="B83" s="108" t="str">
        <f ca="1">IFERROR(IF(FIND(DATA_EFORM_TYPE_CODE,DB_TBL_DATA_FIELDS[[#This Row],[APPLICABLE_EFORM_LIST]])&gt;0,DATA_EFORM_TYPE_CODE,""),"")</f>
        <v/>
      </c>
      <c r="C83" s="104" t="s">
        <v>2523</v>
      </c>
      <c r="D83" s="104" t="b">
        <v>0</v>
      </c>
      <c r="E83" s="105" t="b">
        <v>0</v>
      </c>
      <c r="F83" s="106" t="s">
        <v>2524</v>
      </c>
      <c r="G83" s="107" t="str">
        <f ca="1">IF(AND(DATA_PRIM_BORW_FULL_NAME&lt;&gt;"",DATA_HSEHLD_NO&lt;&gt;""),"#"&amp;DATA_HSEHLD_NO&amp;" ("&amp;DATA_PRIM_BORW_FULL_NAME&amp;")","")</f>
        <v/>
      </c>
      <c r="H83" s="106"/>
      <c r="I83" s="106" t="b">
        <f ca="1">(DB_TBL_DATA_FIELDS[[#This Row],[FIELD_VALUE_RAW]]="")</f>
        <v>1</v>
      </c>
      <c r="J83" s="106" t="s">
        <v>9</v>
      </c>
      <c r="K83" s="104" t="b">
        <f>AND(IF(DB_TBL_DATA_FIELDS[[#This Row],[FIELD_VALID_CUSTOM_LOGIC]]="",TRUE,DB_TBL_DATA_FIELDS[[#This Row],[FIELD_VALID_CUSTOM_LOGIC]]),DB_TBL_DATA_FIELDS[[#This Row],[RANGE_VALIDATION_PASSED_FLAG]])</f>
        <v>1</v>
      </c>
      <c r="L83" s="1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3" s="104" t="str">
        <f ca="1">IF(DB_TBL_DATA_FIELDS[[#This Row],[SHEET_REF_CALC]]="","",IF(DB_TBL_DATA_FIELDS[[#This Row],[FIELD_EMPTY_FLAG]],IF(NOT(DB_TBL_DATA_FIELDS[[#This Row],[FIELD_REQ_FLAG]]),-1,1),IF(NOT(DB_TBL_DATA_FIELDS[[#This Row],[FIELD_VALID_FLAG]]),0,2)))</f>
        <v/>
      </c>
      <c r="N83" s="104" t="str">
        <f ca="1">IFERROR(VLOOKUP(DB_TBL_DATA_FIELDS[[#This Row],[FIELD_STATUS_CODE]],DB_TBL_CONFIG_FIELDSTATUSCODES[#All],3,FALSE),"")</f>
        <v/>
      </c>
      <c r="O83" s="104" t="str">
        <f ca="1">IFERROR(VLOOKUP(DB_TBL_DATA_FIELDS[[#This Row],[FIELD_STATUS_CODE]],DB_TBL_CONFIG_FIELDSTATUSCODES[#All],4,FALSE),"")</f>
        <v/>
      </c>
      <c r="P83" s="104" t="b">
        <f>TRUE</f>
        <v>1</v>
      </c>
      <c r="Q83" s="104" t="b">
        <v>0</v>
      </c>
      <c r="R83" s="104"/>
      <c r="S83" s="104">
        <f ca="1">IF(DB_TBL_DATA_FIELDS[[#This Row],[RANGE_VALIDATION_FLAG]]="Text",LEN(DB_TBL_DATA_FIELDS[[#This Row],[FIELD_VALUE_RAW]]),IFERROR(VALUE(DB_TBL_DATA_FIELDS[[#This Row],[FIELD_VALUE_RAW]]),-1))</f>
        <v>-1</v>
      </c>
      <c r="T83" s="104"/>
      <c r="U83" s="104"/>
      <c r="V83" s="104" t="b">
        <f>IF(NOT(DB_TBL_DATA_FIELDS[[#This Row],[RANGE_VALIDATION_ON_FLAG]]),TRUE,
AND(DB_TBL_DATA_FIELDS[[#This Row],[RANGE_VALUE_LEN]]&gt;=DB_TBL_DATA_FIELDS[[#This Row],[RANGE_VALIDATION_MIN]],DB_TBL_DATA_FIELDS[[#This Row],[RANGE_VALUE_LEN]]&lt;=DB_TBL_DATA_FIELDS[[#This Row],[RANGE_VALIDATION_MAX]]))</f>
        <v>1</v>
      </c>
      <c r="W83" s="104">
        <v>0</v>
      </c>
      <c r="X83" s="104" t="str">
        <f ca="1">IF(DB_TBL_DATA_FIELDS[[#This Row],[PCT_CALC_SHOW_STATUS_CODE]]=1,
DB_TBL_DATA_FIELDS[[#This Row],[FIELD_STATUS_CODE]],
IF(AND(DB_TBL_DATA_FIELDS[[#This Row],[PCT_CALC_SHOW_STATUS_CODE]]=2,DB_TBL_DATA_FIELDS[[#This Row],[FIELD_STATUS_CODE]]=0),
DB_TBL_DATA_FIELDS[[#This Row],[FIELD_STATUS_CODE]],
"")
)</f>
        <v/>
      </c>
      <c r="Y83" s="104"/>
      <c r="Z83" s="104"/>
    </row>
    <row r="84" spans="1:26" x14ac:dyDescent="0.2">
      <c r="A84" s="1" t="s">
        <v>2209</v>
      </c>
      <c r="B84" s="16" t="str">
        <f ca="1">IFERROR(IF(FIND(DATA_EFORM_TYPE_CODE,DB_TBL_DATA_FIELDS[[#This Row],[APPLICABLE_EFORM_LIST]])&gt;0,DATA_EFORM_TYPE_CODE,""),"")</f>
        <v/>
      </c>
      <c r="C84" s="1" t="s">
        <v>2545</v>
      </c>
      <c r="D84" s="1" t="b">
        <v>1</v>
      </c>
      <c r="E84" s="18" t="b">
        <v>1</v>
      </c>
      <c r="F84" s="2" t="s">
        <v>2573</v>
      </c>
      <c r="G84" s="2" t="str">
        <f ca="1">IFERROR(VLOOKUP(DB_TBL_DATA_FIELDS[[#This Row],[FIELD_ID]],INDIRECT(DB_TBL_DATA_FIELDS[[#This Row],[SHEET_REF_CALC]]&amp;"!A:B"),2,FALSE),"")</f>
        <v/>
      </c>
      <c r="I84" s="2" t="b">
        <f ca="1">(DB_TBL_DATA_FIELDS[[#This Row],[FIELD_VALUE_RAW]]="")</f>
        <v>1</v>
      </c>
      <c r="J84" s="2" t="s">
        <v>31</v>
      </c>
      <c r="K84" s="1" t="b">
        <f>AND(IF(DB_TBL_DATA_FIELDS[[#This Row],[FIELD_VALID_CUSTOM_LOGIC]]="",TRUE,DB_TBL_DATA_FIELDS[[#This Row],[FIELD_VALID_CUSTOM_LOGIC]]),DB_TBL_DATA_FIELDS[[#This Row],[RANGE_VALIDATION_PASSED_FLAG]])</f>
        <v>1</v>
      </c>
      <c r="L84"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4" s="1" t="str">
        <f ca="1">IF(DB_TBL_DATA_FIELDS[[#This Row],[SHEET_REF_CALC]]="","",IF(DB_TBL_DATA_FIELDS[[#This Row],[FIELD_EMPTY_FLAG]],IF(NOT(DB_TBL_DATA_FIELDS[[#This Row],[FIELD_REQ_FLAG]]),-1,1),IF(NOT(DB_TBL_DATA_FIELDS[[#This Row],[FIELD_VALID_FLAG]]),0,2)))</f>
        <v/>
      </c>
      <c r="N84" s="1" t="str">
        <f ca="1">IFERROR(VLOOKUP(DB_TBL_DATA_FIELDS[[#This Row],[FIELD_STATUS_CODE]],DB_TBL_CONFIG_FIELDSTATUSCODES[#All],3,FALSE),"")</f>
        <v/>
      </c>
      <c r="O84" s="1" t="str">
        <f ca="1">IFERROR(VLOOKUP(DB_TBL_DATA_FIELDS[[#This Row],[FIELD_STATUS_CODE]],DB_TBL_CONFIG_FIELDSTATUSCODES[#All],4,FALSE),"")</f>
        <v/>
      </c>
      <c r="P84" s="1" t="b">
        <f>TRUE</f>
        <v>1</v>
      </c>
      <c r="Q84" s="1" t="b">
        <v>0</v>
      </c>
      <c r="S84" s="1">
        <f ca="1">IF(DB_TBL_DATA_FIELDS[[#This Row],[RANGE_VALIDATION_FLAG]]="Text",LEN(DB_TBL_DATA_FIELDS[[#This Row],[FIELD_VALUE_RAW]]),IFERROR(VALUE(DB_TBL_DATA_FIELDS[[#This Row],[FIELD_VALUE_RAW]]),-1))</f>
        <v>-1</v>
      </c>
      <c r="V84" s="1" t="b">
        <f>IF(NOT(DB_TBL_DATA_FIELDS[[#This Row],[RANGE_VALIDATION_ON_FLAG]]),TRUE,
AND(DB_TBL_DATA_FIELDS[[#This Row],[RANGE_VALUE_LEN]]&gt;=DB_TBL_DATA_FIELDS[[#This Row],[RANGE_VALIDATION_MIN]],DB_TBL_DATA_FIELDS[[#This Row],[RANGE_VALUE_LEN]]&lt;=DB_TBL_DATA_FIELDS[[#This Row],[RANGE_VALIDATION_MAX]]))</f>
        <v>1</v>
      </c>
      <c r="W84" s="1">
        <v>1</v>
      </c>
      <c r="X84" s="1" t="str">
        <f ca="1">IF(DB_TBL_DATA_FIELDS[[#This Row],[PCT_CALC_SHOW_STATUS_CODE]]=1,
DB_TBL_DATA_FIELDS[[#This Row],[FIELD_STATUS_CODE]],
IF(AND(DB_TBL_DATA_FIELDS[[#This Row],[PCT_CALC_SHOW_STATUS_CODE]]=2,DB_TBL_DATA_FIELDS[[#This Row],[FIELD_STATUS_CODE]]=0),
DB_TBL_DATA_FIELDS[[#This Row],[FIELD_STATUS_CODE]],
"")
)</f>
        <v/>
      </c>
    </row>
    <row r="85" spans="1:26" x14ac:dyDescent="0.2">
      <c r="A85" s="1" t="s">
        <v>2209</v>
      </c>
      <c r="B85" s="16" t="str">
        <f ca="1">IFERROR(IF(FIND(DATA_EFORM_TYPE_CODE,DB_TBL_DATA_FIELDS[[#This Row],[APPLICABLE_EFORM_LIST]])&gt;0,DATA_EFORM_TYPE_CODE,""),"")</f>
        <v/>
      </c>
      <c r="C85" s="1" t="s">
        <v>2540</v>
      </c>
      <c r="D85" s="1" t="b">
        <v>1</v>
      </c>
      <c r="E85" s="18" t="b">
        <v>1</v>
      </c>
      <c r="F85" s="2" t="s">
        <v>2567</v>
      </c>
      <c r="G85" s="2" t="str">
        <f ca="1">IFERROR(VLOOKUP(DB_TBL_DATA_FIELDS[[#This Row],[FIELD_ID]],INDIRECT(DB_TBL_DATA_FIELDS[[#This Row],[SHEET_REF_CALC]]&amp;"!A:B"),2,FALSE),"")</f>
        <v/>
      </c>
      <c r="I85" s="2" t="b">
        <f ca="1">(DB_TBL_DATA_FIELDS[[#This Row],[FIELD_VALUE_RAW]]="")</f>
        <v>1</v>
      </c>
      <c r="J85" s="2" t="s">
        <v>39</v>
      </c>
      <c r="K85" s="1" t="b">
        <f ca="1">AND(IF(DB_TBL_DATA_FIELDS[[#This Row],[FIELD_VALID_CUSTOM_LOGIC]]="",TRUE,DB_TBL_DATA_FIELDS[[#This Row],[FIELD_VALID_CUSTOM_LOGIC]]),DB_TBL_DATA_FIELDS[[#This Row],[RANGE_VALIDATION_PASSED_FLAG]])</f>
        <v>0</v>
      </c>
      <c r="L85"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5" s="1" t="str">
        <f ca="1">IF(DB_TBL_DATA_FIELDS[[#This Row],[SHEET_REF_CALC]]="","",IF(DB_TBL_DATA_FIELDS[[#This Row],[FIELD_EMPTY_FLAG]],IF(NOT(DB_TBL_DATA_FIELDS[[#This Row],[FIELD_REQ_FLAG]]),-1,1),IF(NOT(DB_TBL_DATA_FIELDS[[#This Row],[FIELD_VALID_FLAG]]),0,2)))</f>
        <v/>
      </c>
      <c r="N85" s="1" t="str">
        <f ca="1">IFERROR(VLOOKUP(DB_TBL_DATA_FIELDS[[#This Row],[FIELD_STATUS_CODE]],DB_TBL_CONFIG_FIELDSTATUSCODES[#All],3,FALSE),"")</f>
        <v/>
      </c>
      <c r="O85" s="1" t="str">
        <f ca="1">IFERROR(VLOOKUP(DB_TBL_DATA_FIELDS[[#This Row],[FIELD_STATUS_CODE]],DB_TBL_CONFIG_FIELDSTATUSCODES[#All],4,FALSE),"")</f>
        <v/>
      </c>
      <c r="P85" s="1" t="b">
        <f>TRUE</f>
        <v>1</v>
      </c>
      <c r="Q85" s="1" t="b">
        <f>TRUE</f>
        <v>1</v>
      </c>
      <c r="R85" s="1" t="s">
        <v>39</v>
      </c>
      <c r="S85" s="1">
        <f ca="1">IF(DB_TBL_DATA_FIELDS[[#This Row],[RANGE_VALIDATION_FLAG]]="Text",LEN(DB_TBL_DATA_FIELDS[[#This Row],[FIELD_VALUE_RAW]]),IFERROR(VALUE(DB_TBL_DATA_FIELDS[[#This Row],[FIELD_VALUE_RAW]]),-1))</f>
        <v>-1</v>
      </c>
      <c r="T85" s="1">
        <v>0</v>
      </c>
      <c r="U85" s="1">
        <v>999999999</v>
      </c>
      <c r="V85" s="1" t="b">
        <f ca="1">IF(NOT(DB_TBL_DATA_FIELDS[[#This Row],[RANGE_VALIDATION_ON_FLAG]]),TRUE,
AND(DB_TBL_DATA_FIELDS[[#This Row],[RANGE_VALUE_LEN]]&gt;=DB_TBL_DATA_FIELDS[[#This Row],[RANGE_VALIDATION_MIN]],DB_TBL_DATA_FIELDS[[#This Row],[RANGE_VALUE_LEN]]&lt;=DB_TBL_DATA_FIELDS[[#This Row],[RANGE_VALIDATION_MAX]]))</f>
        <v>0</v>
      </c>
      <c r="W85" s="1">
        <v>1</v>
      </c>
      <c r="X85" s="1" t="str">
        <f ca="1">IF(DB_TBL_DATA_FIELDS[[#This Row],[PCT_CALC_SHOW_STATUS_CODE]]=1,
DB_TBL_DATA_FIELDS[[#This Row],[FIELD_STATUS_CODE]],
IF(AND(DB_TBL_DATA_FIELDS[[#This Row],[PCT_CALC_SHOW_STATUS_CODE]]=2,DB_TBL_DATA_FIELDS[[#This Row],[FIELD_STATUS_CODE]]=0),
DB_TBL_DATA_FIELDS[[#This Row],[FIELD_STATUS_CODE]],
"")
)</f>
        <v/>
      </c>
    </row>
    <row r="86" spans="1:26" x14ac:dyDescent="0.2">
      <c r="A86" s="1" t="s">
        <v>2209</v>
      </c>
      <c r="B86" s="16" t="str">
        <f ca="1">IFERROR(IF(FIND(DATA_EFORM_TYPE_CODE,DB_TBL_DATA_FIELDS[[#This Row],[APPLICABLE_EFORM_LIST]])&gt;0,DATA_EFORM_TYPE_CODE,""),"")</f>
        <v/>
      </c>
      <c r="C86" s="1" t="s">
        <v>2541</v>
      </c>
      <c r="D86" s="1" t="b">
        <v>1</v>
      </c>
      <c r="E86" s="18" t="b">
        <v>1</v>
      </c>
      <c r="F86" s="2" t="s">
        <v>2568</v>
      </c>
      <c r="G86" s="2" t="str">
        <f ca="1">IFERROR(VLOOKUP(DB_TBL_DATA_FIELDS[[#This Row],[FIELD_ID]],INDIRECT(DB_TBL_DATA_FIELDS[[#This Row],[SHEET_REF_CALC]]&amp;"!A:B"),2,FALSE),"")</f>
        <v/>
      </c>
      <c r="I86" s="2" t="b">
        <f ca="1">(DB_TBL_DATA_FIELDS[[#This Row],[FIELD_VALUE_RAW]]="")</f>
        <v>1</v>
      </c>
      <c r="J86" s="2" t="s">
        <v>39</v>
      </c>
      <c r="K86" s="1" t="b">
        <f ca="1">AND(IF(DB_TBL_DATA_FIELDS[[#This Row],[FIELD_VALID_CUSTOM_LOGIC]]="",TRUE,DB_TBL_DATA_FIELDS[[#This Row],[FIELD_VALID_CUSTOM_LOGIC]]),DB_TBL_DATA_FIELDS[[#This Row],[RANGE_VALIDATION_PASSED_FLAG]])</f>
        <v>0</v>
      </c>
      <c r="L86"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6" s="1" t="str">
        <f ca="1">IF(DB_TBL_DATA_FIELDS[[#This Row],[SHEET_REF_CALC]]="","",IF(DB_TBL_DATA_FIELDS[[#This Row],[FIELD_EMPTY_FLAG]],IF(NOT(DB_TBL_DATA_FIELDS[[#This Row],[FIELD_REQ_FLAG]]),-1,1),IF(NOT(DB_TBL_DATA_FIELDS[[#This Row],[FIELD_VALID_FLAG]]),0,2)))</f>
        <v/>
      </c>
      <c r="N86" s="1" t="str">
        <f ca="1">IFERROR(VLOOKUP(DB_TBL_DATA_FIELDS[[#This Row],[FIELD_STATUS_CODE]],DB_TBL_CONFIG_FIELDSTATUSCODES[#All],3,FALSE),"")</f>
        <v/>
      </c>
      <c r="O86" s="1" t="str">
        <f ca="1">IFERROR(VLOOKUP(DB_TBL_DATA_FIELDS[[#This Row],[FIELD_STATUS_CODE]],DB_TBL_CONFIG_FIELDSTATUSCODES[#All],4,FALSE),"")</f>
        <v/>
      </c>
      <c r="P86" s="1" t="b">
        <f>TRUE</f>
        <v>1</v>
      </c>
      <c r="Q86" s="1" t="b">
        <f>TRUE</f>
        <v>1</v>
      </c>
      <c r="R86" s="1" t="s">
        <v>39</v>
      </c>
      <c r="S86" s="1">
        <f ca="1">IF(DB_TBL_DATA_FIELDS[[#This Row],[RANGE_VALIDATION_FLAG]]="Text",LEN(DB_TBL_DATA_FIELDS[[#This Row],[FIELD_VALUE_RAW]]),IFERROR(VALUE(DB_TBL_DATA_FIELDS[[#This Row],[FIELD_VALUE_RAW]]),-1))</f>
        <v>-1</v>
      </c>
      <c r="T86" s="1">
        <v>0</v>
      </c>
      <c r="U86" s="1">
        <v>999999999</v>
      </c>
      <c r="V86" s="1" t="b">
        <f ca="1">IF(NOT(DB_TBL_DATA_FIELDS[[#This Row],[RANGE_VALIDATION_ON_FLAG]]),TRUE,
AND(DB_TBL_DATA_FIELDS[[#This Row],[RANGE_VALUE_LEN]]&gt;=DB_TBL_DATA_FIELDS[[#This Row],[RANGE_VALIDATION_MIN]],DB_TBL_DATA_FIELDS[[#This Row],[RANGE_VALUE_LEN]]&lt;=DB_TBL_DATA_FIELDS[[#This Row],[RANGE_VALIDATION_MAX]]))</f>
        <v>0</v>
      </c>
      <c r="W86" s="1">
        <v>1</v>
      </c>
      <c r="X86" s="1" t="str">
        <f ca="1">IF(DB_TBL_DATA_FIELDS[[#This Row],[PCT_CALC_SHOW_STATUS_CODE]]=1,
DB_TBL_DATA_FIELDS[[#This Row],[FIELD_STATUS_CODE]],
IF(AND(DB_TBL_DATA_FIELDS[[#This Row],[PCT_CALC_SHOW_STATUS_CODE]]=2,DB_TBL_DATA_FIELDS[[#This Row],[FIELD_STATUS_CODE]]=0),
DB_TBL_DATA_FIELDS[[#This Row],[FIELD_STATUS_CODE]],
"")
)</f>
        <v/>
      </c>
    </row>
    <row r="87" spans="1:26" x14ac:dyDescent="0.2">
      <c r="A87" s="1" t="s">
        <v>2209</v>
      </c>
      <c r="B87" s="16" t="str">
        <f ca="1">IFERROR(IF(FIND(DATA_EFORM_TYPE_CODE,DB_TBL_DATA_FIELDS[[#This Row],[APPLICABLE_EFORM_LIST]])&gt;0,DATA_EFORM_TYPE_CODE,""),"")</f>
        <v/>
      </c>
      <c r="C87" s="1" t="s">
        <v>2888</v>
      </c>
      <c r="D87" s="1" t="b">
        <v>1</v>
      </c>
      <c r="E87" s="84" t="b">
        <f ca="1">AND(DATA_TOTAL_DEBT_INC_RATIO&lt;&gt;"",DATA_TOTAL_DEBT_INC_RATIO&gt;CONFIG_DTI_THRESH_AFFORDABILITY)</f>
        <v>0</v>
      </c>
      <c r="F87" s="2" t="s">
        <v>2889</v>
      </c>
      <c r="G87" s="2" t="str">
        <f ca="1">IFERROR(VLOOKUP(DB_TBL_DATA_FIELDS[[#This Row],[FIELD_ID]],INDIRECT(DB_TBL_DATA_FIELDS[[#This Row],[SHEET_REF_CALC]]&amp;"!A:B"),2,FALSE),"")</f>
        <v/>
      </c>
      <c r="H87" s="21" t="str">
        <f ca="1">IF(DB_TBL_DATA_FIELDS[[#This Row],[FIELD_VALUE_RAW]]="","",DB_TBL_DATA_FIELDS[[#This Row],[FIELD_REQ_FLAG]])</f>
        <v/>
      </c>
      <c r="I87" s="2" t="b">
        <f ca="1">(DB_TBL_DATA_FIELDS[[#This Row],[FIELD_VALUE_RAW]]="")</f>
        <v>1</v>
      </c>
      <c r="J87" s="2" t="s">
        <v>9</v>
      </c>
      <c r="K87" s="1" t="b">
        <f ca="1">AND(IF(DB_TBL_DATA_FIELDS[[#This Row],[FIELD_VALID_CUSTOM_LOGIC]]="",TRUE,DB_TBL_DATA_FIELDS[[#This Row],[FIELD_VALID_CUSTOM_LOGIC]]),DB_TBL_DATA_FIELDS[[#This Row],[RANGE_VALIDATION_PASSED_FLAG]])</f>
        <v>1</v>
      </c>
      <c r="L8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7" s="1" t="str">
        <f ca="1">IF(DB_TBL_DATA_FIELDS[[#This Row],[SHEET_REF_CALC]]="","",IF(DB_TBL_DATA_FIELDS[[#This Row],[FIELD_EMPTY_FLAG]],IF(NOT(DB_TBL_DATA_FIELDS[[#This Row],[FIELD_REQ_FLAG]]),-1,1),IF(NOT(DB_TBL_DATA_FIELDS[[#This Row],[FIELD_VALID_FLAG]]),0,2)))</f>
        <v/>
      </c>
      <c r="N87" s="1" t="str">
        <f ca="1">IFERROR(VLOOKUP(DB_TBL_DATA_FIELDS[[#This Row],[FIELD_STATUS_CODE]],DB_TBL_CONFIG_FIELDSTATUSCODES[#All],3,FALSE),"")</f>
        <v/>
      </c>
      <c r="O87" s="1" t="str">
        <f ca="1">IFERROR(VLOOKUP(DB_TBL_DATA_FIELDS[[#This Row],[FIELD_STATUS_CODE]],DB_TBL_CONFIG_FIELDSTATUSCODES[#All],4,FALSE),"")</f>
        <v/>
      </c>
      <c r="P87" s="1" t="b">
        <f>TRUE</f>
        <v>1</v>
      </c>
      <c r="Q87" s="1" t="b">
        <f>TRUE</f>
        <v>1</v>
      </c>
      <c r="R87" s="1" t="s">
        <v>9</v>
      </c>
      <c r="S87" s="1">
        <f ca="1">IF(DB_TBL_DATA_FIELDS[[#This Row],[RANGE_VALIDATION_FLAG]]="Text",LEN(DB_TBL_DATA_FIELDS[[#This Row],[FIELD_VALUE_RAW]]),IFERROR(VALUE(DB_TBL_DATA_FIELDS[[#This Row],[FIELD_VALUE_RAW]]),-1))</f>
        <v>0</v>
      </c>
      <c r="T87" s="1">
        <v>0</v>
      </c>
      <c r="U87" s="1">
        <v>1000</v>
      </c>
      <c r="V87" s="1" t="b">
        <f ca="1">IF(NOT(DB_TBL_DATA_FIELDS[[#This Row],[RANGE_VALIDATION_ON_FLAG]]),TRUE,
AND(DB_TBL_DATA_FIELDS[[#This Row],[RANGE_VALUE_LEN]]&gt;=DB_TBL_DATA_FIELDS[[#This Row],[RANGE_VALIDATION_MIN]],DB_TBL_DATA_FIELDS[[#This Row],[RANGE_VALUE_LEN]]&lt;=DB_TBL_DATA_FIELDS[[#This Row],[RANGE_VALIDATION_MAX]]))</f>
        <v>1</v>
      </c>
      <c r="W87" s="1">
        <v>1</v>
      </c>
      <c r="X87" s="1" t="str">
        <f ca="1">IF(DB_TBL_DATA_FIELDS[[#This Row],[PCT_CALC_SHOW_STATUS_CODE]]=1,
DB_TBL_DATA_FIELDS[[#This Row],[FIELD_STATUS_CODE]],
IF(AND(DB_TBL_DATA_FIELDS[[#This Row],[PCT_CALC_SHOW_STATUS_CODE]]=2,DB_TBL_DATA_FIELDS[[#This Row],[FIELD_STATUS_CODE]]=0),
DB_TBL_DATA_FIELDS[[#This Row],[FIELD_STATUS_CODE]],
"")
)</f>
        <v/>
      </c>
    </row>
    <row r="88" spans="1:26" x14ac:dyDescent="0.2">
      <c r="A88" s="1" t="s">
        <v>2209</v>
      </c>
      <c r="B88" s="16" t="str">
        <f ca="1">IFERROR(IF(FIND(DATA_EFORM_TYPE_CODE,DB_TBL_DATA_FIELDS[[#This Row],[APPLICABLE_EFORM_LIST]])&gt;0,DATA_EFORM_TYPE_CODE,""),"")</f>
        <v/>
      </c>
      <c r="C88" s="1" t="s">
        <v>2542</v>
      </c>
      <c r="D88" s="1" t="b">
        <v>1</v>
      </c>
      <c r="E88" s="18" t="b">
        <v>1</v>
      </c>
      <c r="F88" s="2" t="s">
        <v>2542</v>
      </c>
      <c r="G88" s="2" t="str">
        <f ca="1">IFERROR(VLOOKUP(DB_TBL_DATA_FIELDS[[#This Row],[FIELD_ID]],INDIRECT(DB_TBL_DATA_FIELDS[[#This Row],[SHEET_REF_CALC]]&amp;"!A:B"),2,FALSE),"")</f>
        <v/>
      </c>
      <c r="I88" s="2" t="b">
        <f ca="1">(DB_TBL_DATA_FIELDS[[#This Row],[FIELD_VALUE_RAW]]="")</f>
        <v>1</v>
      </c>
      <c r="J88" s="2" t="s">
        <v>39</v>
      </c>
      <c r="K88" s="1" t="b">
        <f ca="1">AND(IF(DB_TBL_DATA_FIELDS[[#This Row],[FIELD_VALID_CUSTOM_LOGIC]]="",TRUE,DB_TBL_DATA_FIELDS[[#This Row],[FIELD_VALID_CUSTOM_LOGIC]]),DB_TBL_DATA_FIELDS[[#This Row],[RANGE_VALIDATION_PASSED_FLAG]])</f>
        <v>0</v>
      </c>
      <c r="L88"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8" s="1" t="str">
        <f ca="1">IF(DB_TBL_DATA_FIELDS[[#This Row],[SHEET_REF_CALC]]="","",IF(DB_TBL_DATA_FIELDS[[#This Row],[FIELD_EMPTY_FLAG]],IF(NOT(DB_TBL_DATA_FIELDS[[#This Row],[FIELD_REQ_FLAG]]),-1,1),IF(NOT(DB_TBL_DATA_FIELDS[[#This Row],[FIELD_VALID_FLAG]]),0,2)))</f>
        <v/>
      </c>
      <c r="N88" s="1" t="str">
        <f ca="1">IFERROR(VLOOKUP(DB_TBL_DATA_FIELDS[[#This Row],[FIELD_STATUS_CODE]],DB_TBL_CONFIG_FIELDSTATUSCODES[#All],3,FALSE),"")</f>
        <v/>
      </c>
      <c r="O88" s="1" t="str">
        <f ca="1">IFERROR(VLOOKUP(DB_TBL_DATA_FIELDS[[#This Row],[FIELD_STATUS_CODE]],DB_TBL_CONFIG_FIELDSTATUSCODES[#All],4,FALSE),"")</f>
        <v/>
      </c>
      <c r="P88" s="1" t="b">
        <f>TRUE</f>
        <v>1</v>
      </c>
      <c r="Q88" s="1" t="b">
        <f>TRUE</f>
        <v>1</v>
      </c>
      <c r="R88" s="1" t="s">
        <v>39</v>
      </c>
      <c r="S88" s="1">
        <f ca="1">IF(DB_TBL_DATA_FIELDS[[#This Row],[RANGE_VALIDATION_FLAG]]="Text",LEN(DB_TBL_DATA_FIELDS[[#This Row],[FIELD_VALUE_RAW]]),IFERROR(VALUE(DB_TBL_DATA_FIELDS[[#This Row],[FIELD_VALUE_RAW]]),-1))</f>
        <v>-1</v>
      </c>
      <c r="T88" s="1">
        <v>0</v>
      </c>
      <c r="U88" s="1">
        <v>999999999</v>
      </c>
      <c r="V88" s="1" t="b">
        <f ca="1">IF(NOT(DB_TBL_DATA_FIELDS[[#This Row],[RANGE_VALIDATION_ON_FLAG]]),TRUE,
AND(DB_TBL_DATA_FIELDS[[#This Row],[RANGE_VALUE_LEN]]&gt;=DB_TBL_DATA_FIELDS[[#This Row],[RANGE_VALIDATION_MIN]],DB_TBL_DATA_FIELDS[[#This Row],[RANGE_VALUE_LEN]]&lt;=DB_TBL_DATA_FIELDS[[#This Row],[RANGE_VALIDATION_MAX]]))</f>
        <v>0</v>
      </c>
      <c r="W88" s="1">
        <v>1</v>
      </c>
      <c r="X88" s="1" t="str">
        <f ca="1">IF(DB_TBL_DATA_FIELDS[[#This Row],[PCT_CALC_SHOW_STATUS_CODE]]=1,
DB_TBL_DATA_FIELDS[[#This Row],[FIELD_STATUS_CODE]],
IF(AND(DB_TBL_DATA_FIELDS[[#This Row],[PCT_CALC_SHOW_STATUS_CODE]]=2,DB_TBL_DATA_FIELDS[[#This Row],[FIELD_STATUS_CODE]]=0),
DB_TBL_DATA_FIELDS[[#This Row],[FIELD_STATUS_CODE]],
"")
)</f>
        <v/>
      </c>
    </row>
    <row r="89" spans="1:26" x14ac:dyDescent="0.2">
      <c r="A89" s="1" t="s">
        <v>2209</v>
      </c>
      <c r="B89" s="16" t="str">
        <f ca="1">IFERROR(IF(FIND(DATA_EFORM_TYPE_CODE,DB_TBL_DATA_FIELDS[[#This Row],[APPLICABLE_EFORM_LIST]])&gt;0,DATA_EFORM_TYPE_CODE,""),"")</f>
        <v/>
      </c>
      <c r="C89" s="1" t="s">
        <v>2543</v>
      </c>
      <c r="D89" s="1" t="b">
        <v>1</v>
      </c>
      <c r="E89" s="18" t="b">
        <v>1</v>
      </c>
      <c r="F89" s="2" t="s">
        <v>2569</v>
      </c>
      <c r="G89" s="2" t="str">
        <f ca="1">IFERROR(VLOOKUP(DB_TBL_DATA_FIELDS[[#This Row],[FIELD_ID]],INDIRECT(DB_TBL_DATA_FIELDS[[#This Row],[SHEET_REF_CALC]]&amp;"!A:B"),2,FALSE),"")</f>
        <v/>
      </c>
      <c r="I89" s="2" t="b">
        <f ca="1">(DB_TBL_DATA_FIELDS[[#This Row],[FIELD_VALUE_RAW]]="")</f>
        <v>1</v>
      </c>
      <c r="J89" s="2" t="s">
        <v>39</v>
      </c>
      <c r="K89" s="1" t="b">
        <f ca="1">AND(IF(DB_TBL_DATA_FIELDS[[#This Row],[FIELD_VALID_CUSTOM_LOGIC]]="",TRUE,DB_TBL_DATA_FIELDS[[#This Row],[FIELD_VALID_CUSTOM_LOGIC]]),DB_TBL_DATA_FIELDS[[#This Row],[RANGE_VALIDATION_PASSED_FLAG]])</f>
        <v>0</v>
      </c>
      <c r="L89"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9" s="1" t="str">
        <f ca="1">IF(DB_TBL_DATA_FIELDS[[#This Row],[SHEET_REF_CALC]]="","",IF(DB_TBL_DATA_FIELDS[[#This Row],[FIELD_EMPTY_FLAG]],IF(NOT(DB_TBL_DATA_FIELDS[[#This Row],[FIELD_REQ_FLAG]]),-1,1),IF(NOT(DB_TBL_DATA_FIELDS[[#This Row],[FIELD_VALID_FLAG]]),0,2)))</f>
        <v/>
      </c>
      <c r="N89" s="1" t="str">
        <f ca="1">IFERROR(VLOOKUP(DB_TBL_DATA_FIELDS[[#This Row],[FIELD_STATUS_CODE]],DB_TBL_CONFIG_FIELDSTATUSCODES[#All],3,FALSE),"")</f>
        <v/>
      </c>
      <c r="O89" s="1" t="str">
        <f ca="1">IFERROR(VLOOKUP(DB_TBL_DATA_FIELDS[[#This Row],[FIELD_STATUS_CODE]],DB_TBL_CONFIG_FIELDSTATUSCODES[#All],4,FALSE),"")</f>
        <v/>
      </c>
      <c r="P89" s="1" t="b">
        <f>TRUE</f>
        <v>1</v>
      </c>
      <c r="Q89" s="1" t="b">
        <f>TRUE</f>
        <v>1</v>
      </c>
      <c r="R89" s="1" t="s">
        <v>39</v>
      </c>
      <c r="S89" s="1">
        <f ca="1">IF(DB_TBL_DATA_FIELDS[[#This Row],[RANGE_VALIDATION_FLAG]]="Text",LEN(DB_TBL_DATA_FIELDS[[#This Row],[FIELD_VALUE_RAW]]),IFERROR(VALUE(DB_TBL_DATA_FIELDS[[#This Row],[FIELD_VALUE_RAW]]),-1))</f>
        <v>-1</v>
      </c>
      <c r="T89" s="1">
        <v>0</v>
      </c>
      <c r="U89" s="1">
        <v>999999999</v>
      </c>
      <c r="V89" s="1" t="b">
        <f ca="1">IF(NOT(DB_TBL_DATA_FIELDS[[#This Row],[RANGE_VALIDATION_ON_FLAG]]),TRUE,
AND(DB_TBL_DATA_FIELDS[[#This Row],[RANGE_VALUE_LEN]]&gt;=DB_TBL_DATA_FIELDS[[#This Row],[RANGE_VALIDATION_MIN]],DB_TBL_DATA_FIELDS[[#This Row],[RANGE_VALUE_LEN]]&lt;=DB_TBL_DATA_FIELDS[[#This Row],[RANGE_VALIDATION_MAX]]))</f>
        <v>0</v>
      </c>
      <c r="W89" s="1">
        <v>1</v>
      </c>
      <c r="X89" s="1" t="str">
        <f ca="1">IF(DB_TBL_DATA_FIELDS[[#This Row],[PCT_CALC_SHOW_STATUS_CODE]]=1,
DB_TBL_DATA_FIELDS[[#This Row],[FIELD_STATUS_CODE]],
IF(AND(DB_TBL_DATA_FIELDS[[#This Row],[PCT_CALC_SHOW_STATUS_CODE]]=2,DB_TBL_DATA_FIELDS[[#This Row],[FIELD_STATUS_CODE]]=0),
DB_TBL_DATA_FIELDS[[#This Row],[FIELD_STATUS_CODE]],
"")
)</f>
        <v/>
      </c>
    </row>
    <row r="90" spans="1:26" x14ac:dyDescent="0.2">
      <c r="A90" s="1" t="s">
        <v>2209</v>
      </c>
      <c r="B90" s="16" t="str">
        <f ca="1">IFERROR(IF(FIND(DATA_EFORM_TYPE_CODE,DB_TBL_DATA_FIELDS[[#This Row],[APPLICABLE_EFORM_LIST]])&gt;0,DATA_EFORM_TYPE_CODE,""),"")</f>
        <v/>
      </c>
      <c r="C90" s="1" t="s">
        <v>2546</v>
      </c>
      <c r="D90" s="1" t="b">
        <v>1</v>
      </c>
      <c r="E90" s="18" t="b">
        <v>1</v>
      </c>
      <c r="F90" s="2" t="s">
        <v>2570</v>
      </c>
      <c r="G90" s="2" t="str">
        <f ca="1">IFERROR(VLOOKUP(DB_TBL_DATA_FIELDS[[#This Row],[FIELD_ID]],INDIRECT(DB_TBL_DATA_FIELDS[[#This Row],[SHEET_REF_CALC]]&amp;"!A:B"),2,FALSE),"")</f>
        <v/>
      </c>
      <c r="I90" s="2" t="b">
        <f ca="1">(DB_TBL_DATA_FIELDS[[#This Row],[FIELD_VALUE_RAW]]="")</f>
        <v>1</v>
      </c>
      <c r="J90" s="2" t="s">
        <v>39</v>
      </c>
      <c r="K90" s="1" t="b">
        <f ca="1">AND(IF(DB_TBL_DATA_FIELDS[[#This Row],[FIELD_VALID_CUSTOM_LOGIC]]="",TRUE,DB_TBL_DATA_FIELDS[[#This Row],[FIELD_VALID_CUSTOM_LOGIC]]),DB_TBL_DATA_FIELDS[[#This Row],[RANGE_VALIDATION_PASSED_FLAG]])</f>
        <v>0</v>
      </c>
      <c r="L90"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0" s="1" t="str">
        <f ca="1">IF(DB_TBL_DATA_FIELDS[[#This Row],[SHEET_REF_CALC]]="","",IF(DB_TBL_DATA_FIELDS[[#This Row],[FIELD_EMPTY_FLAG]],IF(NOT(DB_TBL_DATA_FIELDS[[#This Row],[FIELD_REQ_FLAG]]),-1,1),IF(NOT(DB_TBL_DATA_FIELDS[[#This Row],[FIELD_VALID_FLAG]]),0,2)))</f>
        <v/>
      </c>
      <c r="N90" s="1" t="str">
        <f ca="1">IFERROR(VLOOKUP(DB_TBL_DATA_FIELDS[[#This Row],[FIELD_STATUS_CODE]],DB_TBL_CONFIG_FIELDSTATUSCODES[#All],3,FALSE),"")</f>
        <v/>
      </c>
      <c r="O90" s="1" t="str">
        <f ca="1">IFERROR(VLOOKUP(DB_TBL_DATA_FIELDS[[#This Row],[FIELD_STATUS_CODE]],DB_TBL_CONFIG_FIELDSTATUSCODES[#All],4,FALSE),"")</f>
        <v/>
      </c>
      <c r="P90" s="1" t="b">
        <f>TRUE</f>
        <v>1</v>
      </c>
      <c r="Q90" s="1" t="b">
        <f>TRUE</f>
        <v>1</v>
      </c>
      <c r="R90" s="1" t="s">
        <v>39</v>
      </c>
      <c r="S90" s="1">
        <f ca="1">IF(DB_TBL_DATA_FIELDS[[#This Row],[RANGE_VALIDATION_FLAG]]="Text",LEN(DB_TBL_DATA_FIELDS[[#This Row],[FIELD_VALUE_RAW]]),IFERROR(VALUE(DB_TBL_DATA_FIELDS[[#This Row],[FIELD_VALUE_RAW]]),-1))</f>
        <v>-1</v>
      </c>
      <c r="T90" s="1">
        <v>0</v>
      </c>
      <c r="U90" s="1">
        <v>999999999</v>
      </c>
      <c r="V90" s="1" t="b">
        <f ca="1">IF(NOT(DB_TBL_DATA_FIELDS[[#This Row],[RANGE_VALIDATION_ON_FLAG]]),TRUE,
AND(DB_TBL_DATA_FIELDS[[#This Row],[RANGE_VALUE_LEN]]&gt;=DB_TBL_DATA_FIELDS[[#This Row],[RANGE_VALIDATION_MIN]],DB_TBL_DATA_FIELDS[[#This Row],[RANGE_VALUE_LEN]]&lt;=DB_TBL_DATA_FIELDS[[#This Row],[RANGE_VALIDATION_MAX]]))</f>
        <v>0</v>
      </c>
      <c r="W90" s="1">
        <v>1</v>
      </c>
      <c r="X90" s="1" t="str">
        <f ca="1">IF(DB_TBL_DATA_FIELDS[[#This Row],[PCT_CALC_SHOW_STATUS_CODE]]=1,
DB_TBL_DATA_FIELDS[[#This Row],[FIELD_STATUS_CODE]],
IF(AND(DB_TBL_DATA_FIELDS[[#This Row],[PCT_CALC_SHOW_STATUS_CODE]]=2,DB_TBL_DATA_FIELDS[[#This Row],[FIELD_STATUS_CODE]]=0),
DB_TBL_DATA_FIELDS[[#This Row],[FIELD_STATUS_CODE]],
"")
)</f>
        <v/>
      </c>
    </row>
    <row r="91" spans="1:26" x14ac:dyDescent="0.2">
      <c r="A91" s="1" t="s">
        <v>2209</v>
      </c>
      <c r="B91" s="16" t="str">
        <f ca="1">IFERROR(IF(FIND(DATA_EFORM_TYPE_CODE,DB_TBL_DATA_FIELDS[[#This Row],[APPLICABLE_EFORM_LIST]])&gt;0,DATA_EFORM_TYPE_CODE,""),"")</f>
        <v/>
      </c>
      <c r="C91" s="1" t="s">
        <v>2544</v>
      </c>
      <c r="D91" s="1" t="b">
        <v>1</v>
      </c>
      <c r="E91" s="18" t="b">
        <v>1</v>
      </c>
      <c r="F91" s="2" t="s">
        <v>2571</v>
      </c>
      <c r="G91" s="2" t="str">
        <f ca="1">IFERROR(VLOOKUP(DB_TBL_DATA_FIELDS[[#This Row],[FIELD_ID]],INDIRECT(DB_TBL_DATA_FIELDS[[#This Row],[SHEET_REF_CALC]]&amp;"!A:B"),2,FALSE),"")</f>
        <v/>
      </c>
      <c r="I91" s="2" t="b">
        <f ca="1">(DB_TBL_DATA_FIELDS[[#This Row],[FIELD_VALUE_RAW]]="")</f>
        <v>1</v>
      </c>
      <c r="J91" s="2" t="s">
        <v>39</v>
      </c>
      <c r="K91" s="1" t="b">
        <f ca="1">AND(IF(DB_TBL_DATA_FIELDS[[#This Row],[FIELD_VALID_CUSTOM_LOGIC]]="",TRUE,DB_TBL_DATA_FIELDS[[#This Row],[FIELD_VALID_CUSTOM_LOGIC]]),DB_TBL_DATA_FIELDS[[#This Row],[RANGE_VALIDATION_PASSED_FLAG]])</f>
        <v>0</v>
      </c>
      <c r="L91"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1" s="1" t="str">
        <f ca="1">IF(DB_TBL_DATA_FIELDS[[#This Row],[SHEET_REF_CALC]]="","",IF(DB_TBL_DATA_FIELDS[[#This Row],[FIELD_EMPTY_FLAG]],IF(NOT(DB_TBL_DATA_FIELDS[[#This Row],[FIELD_REQ_FLAG]]),-1,1),IF(NOT(DB_TBL_DATA_FIELDS[[#This Row],[FIELD_VALID_FLAG]]),0,2)))</f>
        <v/>
      </c>
      <c r="N91" s="1" t="str">
        <f ca="1">IFERROR(VLOOKUP(DB_TBL_DATA_FIELDS[[#This Row],[FIELD_STATUS_CODE]],DB_TBL_CONFIG_FIELDSTATUSCODES[#All],3,FALSE),"")</f>
        <v/>
      </c>
      <c r="O91" s="1" t="str">
        <f ca="1">IFERROR(VLOOKUP(DB_TBL_DATA_FIELDS[[#This Row],[FIELD_STATUS_CODE]],DB_TBL_CONFIG_FIELDSTATUSCODES[#All],4,FALSE),"")</f>
        <v/>
      </c>
      <c r="P91" s="1" t="b">
        <f>TRUE</f>
        <v>1</v>
      </c>
      <c r="Q91" s="1" t="b">
        <f>TRUE</f>
        <v>1</v>
      </c>
      <c r="R91" s="1" t="s">
        <v>39</v>
      </c>
      <c r="S91" s="1">
        <f ca="1">IF(DB_TBL_DATA_FIELDS[[#This Row],[RANGE_VALIDATION_FLAG]]="Text",LEN(DB_TBL_DATA_FIELDS[[#This Row],[FIELD_VALUE_RAW]]),IFERROR(VALUE(DB_TBL_DATA_FIELDS[[#This Row],[FIELD_VALUE_RAW]]),-1))</f>
        <v>-1</v>
      </c>
      <c r="T91" s="1">
        <v>1</v>
      </c>
      <c r="U91" s="1">
        <v>999999999</v>
      </c>
      <c r="V91" s="1" t="b">
        <f ca="1">IF(NOT(DB_TBL_DATA_FIELDS[[#This Row],[RANGE_VALIDATION_ON_FLAG]]),TRUE,
AND(DB_TBL_DATA_FIELDS[[#This Row],[RANGE_VALUE_LEN]]&gt;=DB_TBL_DATA_FIELDS[[#This Row],[RANGE_VALIDATION_MIN]],DB_TBL_DATA_FIELDS[[#This Row],[RANGE_VALUE_LEN]]&lt;=DB_TBL_DATA_FIELDS[[#This Row],[RANGE_VALIDATION_MAX]]))</f>
        <v>0</v>
      </c>
      <c r="W91" s="1">
        <v>1</v>
      </c>
      <c r="X91" s="1" t="str">
        <f ca="1">IF(DB_TBL_DATA_FIELDS[[#This Row],[PCT_CALC_SHOW_STATUS_CODE]]=1,
DB_TBL_DATA_FIELDS[[#This Row],[FIELD_STATUS_CODE]],
IF(AND(DB_TBL_DATA_FIELDS[[#This Row],[PCT_CALC_SHOW_STATUS_CODE]]=2,DB_TBL_DATA_FIELDS[[#This Row],[FIELD_STATUS_CODE]]=0),
DB_TBL_DATA_FIELDS[[#This Row],[FIELD_STATUS_CODE]],
"")
)</f>
        <v/>
      </c>
    </row>
    <row r="92" spans="1:26" x14ac:dyDescent="0.2">
      <c r="A92" s="1" t="s">
        <v>2209</v>
      </c>
      <c r="B92" s="16" t="str">
        <f ca="1">IFERROR(IF(FIND(DATA_EFORM_TYPE_CODE,DB_TBL_DATA_FIELDS[[#This Row],[APPLICABLE_EFORM_LIST]])&gt;0,DATA_EFORM_TYPE_CODE,""),"")</f>
        <v/>
      </c>
      <c r="C92" s="1" t="s">
        <v>2547</v>
      </c>
      <c r="D92" s="1" t="b">
        <v>1</v>
      </c>
      <c r="E92" s="18" t="b">
        <v>1</v>
      </c>
      <c r="F92" s="2" t="s">
        <v>2578</v>
      </c>
      <c r="G92" s="2" t="str">
        <f ca="1">IFERROR(VLOOKUP(DB_TBL_DATA_FIELDS[[#This Row],[FIELD_ID]],INDIRECT(DB_TBL_DATA_FIELDS[[#This Row],[SHEET_REF_CALC]]&amp;"!A:B"),2,FALSE),"")</f>
        <v/>
      </c>
      <c r="I92" s="2" t="b">
        <f ca="1">(DB_TBL_DATA_FIELDS[[#This Row],[FIELD_VALUE_RAW]]="")</f>
        <v>1</v>
      </c>
      <c r="J92" s="2" t="s">
        <v>39</v>
      </c>
      <c r="K92" s="1" t="b">
        <f ca="1">AND(IF(DB_TBL_DATA_FIELDS[[#This Row],[FIELD_VALID_CUSTOM_LOGIC]]="",TRUE,DB_TBL_DATA_FIELDS[[#This Row],[FIELD_VALID_CUSTOM_LOGIC]]),DB_TBL_DATA_FIELDS[[#This Row],[RANGE_VALIDATION_PASSED_FLAG]])</f>
        <v>0</v>
      </c>
      <c r="L92"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2" s="1" t="str">
        <f ca="1">IF(DB_TBL_DATA_FIELDS[[#This Row],[SHEET_REF_CALC]]="","",IF(DB_TBL_DATA_FIELDS[[#This Row],[FIELD_EMPTY_FLAG]],IF(NOT(DB_TBL_DATA_FIELDS[[#This Row],[FIELD_REQ_FLAG]]),-1,1),IF(NOT(DB_TBL_DATA_FIELDS[[#This Row],[FIELD_VALID_FLAG]]),0,2)))</f>
        <v/>
      </c>
      <c r="N92" s="1" t="str">
        <f ca="1">IFERROR(VLOOKUP(DB_TBL_DATA_FIELDS[[#This Row],[FIELD_STATUS_CODE]],DB_TBL_CONFIG_FIELDSTATUSCODES[#All],3,FALSE),"")</f>
        <v/>
      </c>
      <c r="O92" s="1" t="str">
        <f ca="1">IFERROR(VLOOKUP(DB_TBL_DATA_FIELDS[[#This Row],[FIELD_STATUS_CODE]],DB_TBL_CONFIG_FIELDSTATUSCODES[#All],4,FALSE),"")</f>
        <v/>
      </c>
      <c r="P92" s="1" t="b">
        <f>TRUE</f>
        <v>1</v>
      </c>
      <c r="Q92" s="1" t="b">
        <f>TRUE</f>
        <v>1</v>
      </c>
      <c r="R92" s="1" t="s">
        <v>39</v>
      </c>
      <c r="S92" s="1">
        <f ca="1">IF(DB_TBL_DATA_FIELDS[[#This Row],[RANGE_VALIDATION_FLAG]]="Text",LEN(DB_TBL_DATA_FIELDS[[#This Row],[FIELD_VALUE_RAW]]),IFERROR(VALUE(DB_TBL_DATA_FIELDS[[#This Row],[FIELD_VALUE_RAW]]),-1))</f>
        <v>-1</v>
      </c>
      <c r="T92" s="1">
        <v>0</v>
      </c>
      <c r="U92" s="1">
        <v>0.5</v>
      </c>
      <c r="V92" s="1" t="b">
        <f ca="1">IF(NOT(DB_TBL_DATA_FIELDS[[#This Row],[RANGE_VALIDATION_ON_FLAG]]),TRUE,
AND(DB_TBL_DATA_FIELDS[[#This Row],[RANGE_VALUE_LEN]]&gt;=DB_TBL_DATA_FIELDS[[#This Row],[RANGE_VALIDATION_MIN]],DB_TBL_DATA_FIELDS[[#This Row],[RANGE_VALUE_LEN]]&lt;=DB_TBL_DATA_FIELDS[[#This Row],[RANGE_VALIDATION_MAX]]))</f>
        <v>0</v>
      </c>
      <c r="W92" s="1">
        <v>1</v>
      </c>
      <c r="X92" s="1" t="str">
        <f ca="1">IF(DB_TBL_DATA_FIELDS[[#This Row],[PCT_CALC_SHOW_STATUS_CODE]]=1,
DB_TBL_DATA_FIELDS[[#This Row],[FIELD_STATUS_CODE]],
IF(AND(DB_TBL_DATA_FIELDS[[#This Row],[PCT_CALC_SHOW_STATUS_CODE]]=2,DB_TBL_DATA_FIELDS[[#This Row],[FIELD_STATUS_CODE]]=0),
DB_TBL_DATA_FIELDS[[#This Row],[FIELD_STATUS_CODE]],
"")
)</f>
        <v/>
      </c>
    </row>
    <row r="93" spans="1:26" x14ac:dyDescent="0.2">
      <c r="A93" s="1" t="s">
        <v>2209</v>
      </c>
      <c r="B93" s="16" t="str">
        <f ca="1">IFERROR(IF(FIND(DATA_EFORM_TYPE_CODE,DB_TBL_DATA_FIELDS[[#This Row],[APPLICABLE_EFORM_LIST]])&gt;0,DATA_EFORM_TYPE_CODE,""),"")</f>
        <v/>
      </c>
      <c r="C93" s="1" t="s">
        <v>2548</v>
      </c>
      <c r="D93" s="1" t="b">
        <v>1</v>
      </c>
      <c r="E93" s="18" t="b">
        <v>1</v>
      </c>
      <c r="F93" s="2" t="s">
        <v>2579</v>
      </c>
      <c r="G93" s="2" t="str">
        <f ca="1">IFERROR(VLOOKUP(DB_TBL_DATA_FIELDS[[#This Row],[FIELD_ID]],INDIRECT(DB_TBL_DATA_FIELDS[[#This Row],[SHEET_REF_CALC]]&amp;"!A:B"),2,FALSE),"")</f>
        <v/>
      </c>
      <c r="I93" s="2" t="b">
        <f ca="1">(DB_TBL_DATA_FIELDS[[#This Row],[FIELD_VALUE_RAW]]="")</f>
        <v>1</v>
      </c>
      <c r="J93" s="2" t="s">
        <v>39</v>
      </c>
      <c r="K93" s="1" t="b">
        <f ca="1">AND(IF(DB_TBL_DATA_FIELDS[[#This Row],[FIELD_VALID_CUSTOM_LOGIC]]="",TRUE,DB_TBL_DATA_FIELDS[[#This Row],[FIELD_VALID_CUSTOM_LOGIC]]),DB_TBL_DATA_FIELDS[[#This Row],[RANGE_VALIDATION_PASSED_FLAG]])</f>
        <v>0</v>
      </c>
      <c r="L93"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3" s="1" t="str">
        <f ca="1">IF(DB_TBL_DATA_FIELDS[[#This Row],[SHEET_REF_CALC]]="","",IF(DB_TBL_DATA_FIELDS[[#This Row],[FIELD_EMPTY_FLAG]],IF(NOT(DB_TBL_DATA_FIELDS[[#This Row],[FIELD_REQ_FLAG]]),-1,1),IF(NOT(DB_TBL_DATA_FIELDS[[#This Row],[FIELD_VALID_FLAG]]),0,2)))</f>
        <v/>
      </c>
      <c r="N93" s="1" t="str">
        <f ca="1">IFERROR(VLOOKUP(DB_TBL_DATA_FIELDS[[#This Row],[FIELD_STATUS_CODE]],DB_TBL_CONFIG_FIELDSTATUSCODES[#All],3,FALSE),"")</f>
        <v/>
      </c>
      <c r="O93" s="1" t="str">
        <f ca="1">IFERROR(VLOOKUP(DB_TBL_DATA_FIELDS[[#This Row],[FIELD_STATUS_CODE]],DB_TBL_CONFIG_FIELDSTATUSCODES[#All],4,FALSE),"")</f>
        <v/>
      </c>
      <c r="P93" s="1" t="b">
        <f>TRUE</f>
        <v>1</v>
      </c>
      <c r="Q93" s="1" t="b">
        <f>TRUE</f>
        <v>1</v>
      </c>
      <c r="R93" s="1" t="s">
        <v>39</v>
      </c>
      <c r="S93" s="1">
        <f ca="1">IF(DB_TBL_DATA_FIELDS[[#This Row],[RANGE_VALIDATION_FLAG]]="Text",LEN(DB_TBL_DATA_FIELDS[[#This Row],[FIELD_VALUE_RAW]]),IFERROR(VALUE(DB_TBL_DATA_FIELDS[[#This Row],[FIELD_VALUE_RAW]]),-1))</f>
        <v>-1</v>
      </c>
      <c r="T93" s="1">
        <v>1</v>
      </c>
      <c r="U93" s="1">
        <v>600</v>
      </c>
      <c r="V93" s="1" t="b">
        <f ca="1">IF(NOT(DB_TBL_DATA_FIELDS[[#This Row],[RANGE_VALIDATION_ON_FLAG]]),TRUE,
AND(DB_TBL_DATA_FIELDS[[#This Row],[RANGE_VALUE_LEN]]&gt;=DB_TBL_DATA_FIELDS[[#This Row],[RANGE_VALIDATION_MIN]],DB_TBL_DATA_FIELDS[[#This Row],[RANGE_VALUE_LEN]]&lt;=DB_TBL_DATA_FIELDS[[#This Row],[RANGE_VALIDATION_MAX]]))</f>
        <v>0</v>
      </c>
      <c r="W93" s="1">
        <v>1</v>
      </c>
      <c r="X93" s="1" t="str">
        <f ca="1">IF(DB_TBL_DATA_FIELDS[[#This Row],[PCT_CALC_SHOW_STATUS_CODE]]=1,
DB_TBL_DATA_FIELDS[[#This Row],[FIELD_STATUS_CODE]],
IF(AND(DB_TBL_DATA_FIELDS[[#This Row],[PCT_CALC_SHOW_STATUS_CODE]]=2,DB_TBL_DATA_FIELDS[[#This Row],[FIELD_STATUS_CODE]]=0),
DB_TBL_DATA_FIELDS[[#This Row],[FIELD_STATUS_CODE]],
"")
)</f>
        <v/>
      </c>
    </row>
    <row r="94" spans="1:26" x14ac:dyDescent="0.2">
      <c r="A94" s="1" t="s">
        <v>2209</v>
      </c>
      <c r="B94" s="16" t="str">
        <f ca="1">IFERROR(IF(FIND(DATA_EFORM_TYPE_CODE,DB_TBL_DATA_FIELDS[[#This Row],[APPLICABLE_EFORM_LIST]])&gt;0,DATA_EFORM_TYPE_CODE,""),"")</f>
        <v/>
      </c>
      <c r="C94" s="1" t="s">
        <v>2549</v>
      </c>
      <c r="D94" s="1" t="b">
        <v>1</v>
      </c>
      <c r="E94" s="18" t="b">
        <v>1</v>
      </c>
      <c r="F94" s="2" t="s">
        <v>2572</v>
      </c>
      <c r="G94" s="2" t="str">
        <f ca="1">IFERROR(VLOOKUP(DB_TBL_DATA_FIELDS[[#This Row],[FIELD_ID]],INDIRECT(DB_TBL_DATA_FIELDS[[#This Row],[SHEET_REF_CALC]]&amp;"!A:B"),2,FALSE),"")</f>
        <v/>
      </c>
      <c r="I94" s="2" t="b">
        <f ca="1">(DB_TBL_DATA_FIELDS[[#This Row],[FIELD_VALUE_RAW]]="")</f>
        <v>1</v>
      </c>
      <c r="J94" s="2" t="s">
        <v>9</v>
      </c>
      <c r="K94" s="1" t="b">
        <f ca="1">AND(IF(DB_TBL_DATA_FIELDS[[#This Row],[FIELD_VALID_CUSTOM_LOGIC]]="",TRUE,DB_TBL_DATA_FIELDS[[#This Row],[FIELD_VALID_CUSTOM_LOGIC]]),DB_TBL_DATA_FIELDS[[#This Row],[RANGE_VALIDATION_PASSED_FLAG]])</f>
        <v>1</v>
      </c>
      <c r="L94"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4" s="1" t="str">
        <f ca="1">IF(DB_TBL_DATA_FIELDS[[#This Row],[SHEET_REF_CALC]]="","",IF(DB_TBL_DATA_FIELDS[[#This Row],[FIELD_EMPTY_FLAG]],IF(NOT(DB_TBL_DATA_FIELDS[[#This Row],[FIELD_REQ_FLAG]]),-1,1),IF(NOT(DB_TBL_DATA_FIELDS[[#This Row],[FIELD_VALID_FLAG]]),0,2)))</f>
        <v/>
      </c>
      <c r="N94" s="1" t="str">
        <f ca="1">IFERROR(VLOOKUP(DB_TBL_DATA_FIELDS[[#This Row],[FIELD_STATUS_CODE]],DB_TBL_CONFIG_FIELDSTATUSCODES[#All],3,FALSE),"")</f>
        <v/>
      </c>
      <c r="O94" s="1" t="str">
        <f ca="1">IFERROR(VLOOKUP(DB_TBL_DATA_FIELDS[[#This Row],[FIELD_STATUS_CODE]],DB_TBL_CONFIG_FIELDSTATUSCODES[#All],4,FALSE),"")</f>
        <v/>
      </c>
      <c r="P94" s="1" t="b">
        <f>TRUE</f>
        <v>1</v>
      </c>
      <c r="Q94" s="1" t="b">
        <f>TRUE</f>
        <v>1</v>
      </c>
      <c r="R94" s="1" t="s">
        <v>9</v>
      </c>
      <c r="S94" s="1">
        <f ca="1">IF(DB_TBL_DATA_FIELDS[[#This Row],[RANGE_VALIDATION_FLAG]]="Text",LEN(DB_TBL_DATA_FIELDS[[#This Row],[FIELD_VALUE_RAW]]),IFERROR(VALUE(DB_TBL_DATA_FIELDS[[#This Row],[FIELD_VALUE_RAW]]),-1))</f>
        <v>0</v>
      </c>
      <c r="T94" s="1">
        <v>0</v>
      </c>
      <c r="U94" s="1">
        <v>100</v>
      </c>
      <c r="V94" s="1" t="b">
        <f ca="1">IF(NOT(DB_TBL_DATA_FIELDS[[#This Row],[RANGE_VALIDATION_ON_FLAG]]),TRUE,
AND(DB_TBL_DATA_FIELDS[[#This Row],[RANGE_VALUE_LEN]]&gt;=DB_TBL_DATA_FIELDS[[#This Row],[RANGE_VALIDATION_MIN]],DB_TBL_DATA_FIELDS[[#This Row],[RANGE_VALUE_LEN]]&lt;=DB_TBL_DATA_FIELDS[[#This Row],[RANGE_VALIDATION_MAX]]))</f>
        <v>1</v>
      </c>
      <c r="W94" s="1">
        <v>1</v>
      </c>
      <c r="X94" s="1" t="str">
        <f ca="1">IF(DB_TBL_DATA_FIELDS[[#This Row],[PCT_CALC_SHOW_STATUS_CODE]]=1,
DB_TBL_DATA_FIELDS[[#This Row],[FIELD_STATUS_CODE]],
IF(AND(DB_TBL_DATA_FIELDS[[#This Row],[PCT_CALC_SHOW_STATUS_CODE]]=2,DB_TBL_DATA_FIELDS[[#This Row],[FIELD_STATUS_CODE]]=0),
DB_TBL_DATA_FIELDS[[#This Row],[FIELD_STATUS_CODE]],
"")
)</f>
        <v/>
      </c>
    </row>
    <row r="95" spans="1:26" x14ac:dyDescent="0.2">
      <c r="A95" s="1" t="s">
        <v>2209</v>
      </c>
      <c r="B95" s="16" t="str">
        <f ca="1">IFERROR(IF(FIND(DATA_EFORM_TYPE_CODE,DB_TBL_DATA_FIELDS[[#This Row],[APPLICABLE_EFORM_LIST]])&gt;0,DATA_EFORM_TYPE_CODE,""),"")</f>
        <v/>
      </c>
      <c r="C95" s="1" t="s">
        <v>2550</v>
      </c>
      <c r="D95" s="1" t="b">
        <v>1</v>
      </c>
      <c r="E95" s="18" t="b">
        <v>1</v>
      </c>
      <c r="F95" s="2" t="s">
        <v>2574</v>
      </c>
      <c r="G95" s="21" t="str">
        <f ca="1">IF(DATA_FIRST_MTG_LOAN_TYPE="","",IF(DATA_FIRST_MTG_LOAN_TYPE=MTG_TYPE_FIXED,TRUE,FALSE))</f>
        <v/>
      </c>
      <c r="I95" s="2" t="b">
        <f ca="1">(DB_TBL_DATA_FIELDS[[#This Row],[FIELD_VALUE_RAW]]="")</f>
        <v>1</v>
      </c>
      <c r="J95" s="2" t="s">
        <v>140</v>
      </c>
      <c r="K95" s="1" t="b">
        <f>AND(IF(DB_TBL_DATA_FIELDS[[#This Row],[FIELD_VALID_CUSTOM_LOGIC]]="",TRUE,DB_TBL_DATA_FIELDS[[#This Row],[FIELD_VALID_CUSTOM_LOGIC]]),DB_TBL_DATA_FIELDS[[#This Row],[RANGE_VALIDATION_PASSED_FLAG]])</f>
        <v>1</v>
      </c>
      <c r="L95"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5" s="1" t="str">
        <f ca="1">IF(DB_TBL_DATA_FIELDS[[#This Row],[SHEET_REF_CALC]]="","",IF(DB_TBL_DATA_FIELDS[[#This Row],[FIELD_EMPTY_FLAG]],IF(NOT(DB_TBL_DATA_FIELDS[[#This Row],[FIELD_REQ_FLAG]]),-1,1),IF(NOT(DB_TBL_DATA_FIELDS[[#This Row],[FIELD_VALID_FLAG]]),0,2)))</f>
        <v/>
      </c>
      <c r="N95" s="1" t="str">
        <f ca="1">IFERROR(VLOOKUP(DB_TBL_DATA_FIELDS[[#This Row],[FIELD_STATUS_CODE]],DB_TBL_CONFIG_FIELDSTATUSCODES[#All],3,FALSE),"")</f>
        <v/>
      </c>
      <c r="O95" s="1" t="str">
        <f ca="1">IFERROR(VLOOKUP(DB_TBL_DATA_FIELDS[[#This Row],[FIELD_STATUS_CODE]],DB_TBL_CONFIG_FIELDSTATUSCODES[#All],4,FALSE),"")</f>
        <v/>
      </c>
      <c r="P95" s="1" t="b">
        <f>TRUE</f>
        <v>1</v>
      </c>
      <c r="Q95" s="1" t="b">
        <v>0</v>
      </c>
      <c r="S95" s="1">
        <f ca="1">IF(DB_TBL_DATA_FIELDS[[#This Row],[RANGE_VALIDATION_FLAG]]="Text",LEN(DB_TBL_DATA_FIELDS[[#This Row],[FIELD_VALUE_RAW]]),IFERROR(VALUE(DB_TBL_DATA_FIELDS[[#This Row],[FIELD_VALUE_RAW]]),-1))</f>
        <v>-1</v>
      </c>
      <c r="V95" s="1" t="b">
        <f>IF(NOT(DB_TBL_DATA_FIELDS[[#This Row],[RANGE_VALIDATION_ON_FLAG]]),TRUE,
AND(DB_TBL_DATA_FIELDS[[#This Row],[RANGE_VALUE_LEN]]&gt;=DB_TBL_DATA_FIELDS[[#This Row],[RANGE_VALIDATION_MIN]],DB_TBL_DATA_FIELDS[[#This Row],[RANGE_VALUE_LEN]]&lt;=DB_TBL_DATA_FIELDS[[#This Row],[RANGE_VALIDATION_MAX]]))</f>
        <v>1</v>
      </c>
      <c r="W95" s="1">
        <v>0</v>
      </c>
      <c r="X95" s="1" t="str">
        <f ca="1">IF(DB_TBL_DATA_FIELDS[[#This Row],[PCT_CALC_SHOW_STATUS_CODE]]=1,
DB_TBL_DATA_FIELDS[[#This Row],[FIELD_STATUS_CODE]],
IF(AND(DB_TBL_DATA_FIELDS[[#This Row],[PCT_CALC_SHOW_STATUS_CODE]]=2,DB_TBL_DATA_FIELDS[[#This Row],[FIELD_STATUS_CODE]]=0),
DB_TBL_DATA_FIELDS[[#This Row],[FIELD_STATUS_CODE]],
"")
)</f>
        <v/>
      </c>
    </row>
    <row r="96" spans="1:26" x14ac:dyDescent="0.2">
      <c r="A96" s="1" t="s">
        <v>2209</v>
      </c>
      <c r="B96" s="16" t="str">
        <f ca="1">IFERROR(IF(FIND(DATA_EFORM_TYPE_CODE,DB_TBL_DATA_FIELDS[[#This Row],[APPLICABLE_EFORM_LIST]])&gt;0,DATA_EFORM_TYPE_CODE,""),"")</f>
        <v/>
      </c>
      <c r="C96" s="1" t="s">
        <v>2564</v>
      </c>
      <c r="D96" s="1" t="b">
        <v>0</v>
      </c>
      <c r="E96" s="18" t="b">
        <v>1</v>
      </c>
      <c r="F96" s="2" t="s">
        <v>2576</v>
      </c>
      <c r="G96" s="2" t="str">
        <f ca="1">IFERROR(VLOOKUP(DB_TBL_DATA_FIELDS[[#This Row],[FIELD_ID]],INDIRECT(DB_TBL_DATA_FIELDS[[#This Row],[SHEET_REF_CALC]]&amp;"!A:B"),2,FALSE),"")</f>
        <v/>
      </c>
      <c r="I96" s="2" t="b">
        <f ca="1">(DB_TBL_DATA_FIELDS[[#This Row],[FIELD_VALUE_RAW]]="")</f>
        <v>1</v>
      </c>
      <c r="J96" s="2" t="s">
        <v>140</v>
      </c>
      <c r="K96" s="1" t="b">
        <f>AND(IF(DB_TBL_DATA_FIELDS[[#This Row],[FIELD_VALID_CUSTOM_LOGIC]]="",TRUE,DB_TBL_DATA_FIELDS[[#This Row],[FIELD_VALID_CUSTOM_LOGIC]]),DB_TBL_DATA_FIELDS[[#This Row],[RANGE_VALIDATION_PASSED_FLAG]])</f>
        <v>1</v>
      </c>
      <c r="L96"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6" s="1" t="str">
        <f ca="1">IF(DB_TBL_DATA_FIELDS[[#This Row],[SHEET_REF_CALC]]="","",IF(DB_TBL_DATA_FIELDS[[#This Row],[FIELD_EMPTY_FLAG]],IF(NOT(DB_TBL_DATA_FIELDS[[#This Row],[FIELD_REQ_FLAG]]),-1,1),IF(NOT(DB_TBL_DATA_FIELDS[[#This Row],[FIELD_VALID_FLAG]]),0,2)))</f>
        <v/>
      </c>
      <c r="N96" s="1" t="str">
        <f ca="1">IFERROR(VLOOKUP(DB_TBL_DATA_FIELDS[[#This Row],[FIELD_STATUS_CODE]],DB_TBL_CONFIG_FIELDSTATUSCODES[#All],3,FALSE),"")</f>
        <v/>
      </c>
      <c r="O96" s="1" t="str">
        <f ca="1">IFERROR(VLOOKUP(DB_TBL_DATA_FIELDS[[#This Row],[FIELD_STATUS_CODE]],DB_TBL_CONFIG_FIELDSTATUSCODES[#All],4,FALSE),"")</f>
        <v/>
      </c>
      <c r="P96" s="1" t="b">
        <f>TRUE</f>
        <v>1</v>
      </c>
      <c r="Q96" s="1" t="b">
        <v>0</v>
      </c>
      <c r="S96" s="1">
        <f ca="1">IF(DB_TBL_DATA_FIELDS[[#This Row],[RANGE_VALIDATION_FLAG]]="Text",LEN(DB_TBL_DATA_FIELDS[[#This Row],[FIELD_VALUE_RAW]]),IFERROR(VALUE(DB_TBL_DATA_FIELDS[[#This Row],[FIELD_VALUE_RAW]]),-1))</f>
        <v>-1</v>
      </c>
      <c r="V96" s="1" t="b">
        <f>IF(NOT(DB_TBL_DATA_FIELDS[[#This Row],[RANGE_VALIDATION_ON_FLAG]]),TRUE,
AND(DB_TBL_DATA_FIELDS[[#This Row],[RANGE_VALUE_LEN]]&gt;=DB_TBL_DATA_FIELDS[[#This Row],[RANGE_VALIDATION_MIN]],DB_TBL_DATA_FIELDS[[#This Row],[RANGE_VALUE_LEN]]&lt;=DB_TBL_DATA_FIELDS[[#This Row],[RANGE_VALIDATION_MAX]]))</f>
        <v>1</v>
      </c>
      <c r="W96" s="1">
        <v>1</v>
      </c>
      <c r="X96" s="1" t="str">
        <f ca="1">IF(DB_TBL_DATA_FIELDS[[#This Row],[PCT_CALC_SHOW_STATUS_CODE]]=1,
DB_TBL_DATA_FIELDS[[#This Row],[FIELD_STATUS_CODE]],
IF(AND(DB_TBL_DATA_FIELDS[[#This Row],[PCT_CALC_SHOW_STATUS_CODE]]=2,DB_TBL_DATA_FIELDS[[#This Row],[FIELD_STATUS_CODE]]=0),
DB_TBL_DATA_FIELDS[[#This Row],[FIELD_STATUS_CODE]],
"")
)</f>
        <v/>
      </c>
    </row>
    <row r="97" spans="1:26" x14ac:dyDescent="0.2">
      <c r="A97" s="1" t="s">
        <v>2209</v>
      </c>
      <c r="B97" s="16" t="str">
        <f ca="1">IFERROR(IF(FIND(DATA_EFORM_TYPE_CODE,DB_TBL_DATA_FIELDS[[#This Row],[APPLICABLE_EFORM_LIST]])&gt;0,DATA_EFORM_TYPE_CODE,""),"")</f>
        <v/>
      </c>
      <c r="C97" s="1" t="s">
        <v>2551</v>
      </c>
      <c r="D97" s="1" t="b">
        <v>1</v>
      </c>
      <c r="E97" s="84" t="b">
        <f ca="1">IF(DATA_SECOND_MTG_FLAG=TRUE,TRUE,FALSE)</f>
        <v>0</v>
      </c>
      <c r="F97" s="2" t="s">
        <v>2577</v>
      </c>
      <c r="G97" s="2" t="str">
        <f ca="1">IFERROR(VLOOKUP(DB_TBL_DATA_FIELDS[[#This Row],[FIELD_ID]],INDIRECT(DB_TBL_DATA_FIELDS[[#This Row],[SHEET_REF_CALC]]&amp;"!A:B"),2,FALSE),"")</f>
        <v/>
      </c>
      <c r="H97" s="21" t="str">
        <f ca="1">IF(NOT(DB_TBL_DATA_FIELDS[[#This Row],[FIELD_EMPTY_FLAG]]),DATA_SECOND_MTG_FLAG=TRUE,"")</f>
        <v/>
      </c>
      <c r="I97" s="2" t="b">
        <f ca="1">(DB_TBL_DATA_FIELDS[[#This Row],[FIELD_VALUE_RAW]]="")</f>
        <v>1</v>
      </c>
      <c r="J97" s="2" t="s">
        <v>39</v>
      </c>
      <c r="K97" s="1" t="b">
        <f ca="1">AND(IF(DB_TBL_DATA_FIELDS[[#This Row],[FIELD_VALID_CUSTOM_LOGIC]]="",TRUE,DB_TBL_DATA_FIELDS[[#This Row],[FIELD_VALID_CUSTOM_LOGIC]]),DB_TBL_DATA_FIELDS[[#This Row],[RANGE_VALIDATION_PASSED_FLAG]])</f>
        <v>0</v>
      </c>
      <c r="L9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7" s="1" t="str">
        <f ca="1">IF(DB_TBL_DATA_FIELDS[[#This Row],[SHEET_REF_CALC]]="","",IF(DB_TBL_DATA_FIELDS[[#This Row],[FIELD_EMPTY_FLAG]],IF(NOT(DB_TBL_DATA_FIELDS[[#This Row],[FIELD_REQ_FLAG]]),-1,1),IF(NOT(DB_TBL_DATA_FIELDS[[#This Row],[FIELD_VALID_FLAG]]),0,2)))</f>
        <v/>
      </c>
      <c r="N97" s="1" t="str">
        <f ca="1">IFERROR(VLOOKUP(DB_TBL_DATA_FIELDS[[#This Row],[FIELD_STATUS_CODE]],DB_TBL_CONFIG_FIELDSTATUSCODES[#All],3,FALSE),"")</f>
        <v/>
      </c>
      <c r="O97" s="1" t="str">
        <f ca="1">IFERROR(VLOOKUP(DB_TBL_DATA_FIELDS[[#This Row],[FIELD_STATUS_CODE]],DB_TBL_CONFIG_FIELDSTATUSCODES[#All],4,FALSE),"")</f>
        <v/>
      </c>
      <c r="P97" s="1" t="b">
        <f>TRUE</f>
        <v>1</v>
      </c>
      <c r="Q97" s="1" t="b">
        <f>TRUE</f>
        <v>1</v>
      </c>
      <c r="R97" s="1" t="s">
        <v>39</v>
      </c>
      <c r="S97" s="1">
        <f ca="1">IF(DB_TBL_DATA_FIELDS[[#This Row],[RANGE_VALIDATION_FLAG]]="Text",LEN(DB_TBL_DATA_FIELDS[[#This Row],[FIELD_VALUE_RAW]]),IFERROR(VALUE(DB_TBL_DATA_FIELDS[[#This Row],[FIELD_VALUE_RAW]]),-1))</f>
        <v>-1</v>
      </c>
      <c r="T97" s="1">
        <v>1</v>
      </c>
      <c r="U97" s="1">
        <v>999999999</v>
      </c>
      <c r="V97" s="1" t="b">
        <f ca="1">IF(NOT(DB_TBL_DATA_FIELDS[[#This Row],[RANGE_VALIDATION_ON_FLAG]]),TRUE,
AND(DB_TBL_DATA_FIELDS[[#This Row],[RANGE_VALUE_LEN]]&gt;=DB_TBL_DATA_FIELDS[[#This Row],[RANGE_VALIDATION_MIN]],DB_TBL_DATA_FIELDS[[#This Row],[RANGE_VALUE_LEN]]&lt;=DB_TBL_DATA_FIELDS[[#This Row],[RANGE_VALIDATION_MAX]]))</f>
        <v>0</v>
      </c>
      <c r="W97" s="1">
        <v>1</v>
      </c>
      <c r="X97" s="1" t="str">
        <f ca="1">IF(DB_TBL_DATA_FIELDS[[#This Row],[PCT_CALC_SHOW_STATUS_CODE]]=1,
DB_TBL_DATA_FIELDS[[#This Row],[FIELD_STATUS_CODE]],
IF(AND(DB_TBL_DATA_FIELDS[[#This Row],[PCT_CALC_SHOW_STATUS_CODE]]=2,DB_TBL_DATA_FIELDS[[#This Row],[FIELD_STATUS_CODE]]=0),
DB_TBL_DATA_FIELDS[[#This Row],[FIELD_STATUS_CODE]],
"")
)</f>
        <v/>
      </c>
    </row>
    <row r="98" spans="1:26" x14ac:dyDescent="0.2">
      <c r="A98" s="1" t="s">
        <v>2209</v>
      </c>
      <c r="B98" s="16" t="str">
        <f ca="1">IFERROR(IF(FIND(DATA_EFORM_TYPE_CODE,DB_TBL_DATA_FIELDS[[#This Row],[APPLICABLE_EFORM_LIST]])&gt;0,DATA_EFORM_TYPE_CODE,""),"")</f>
        <v/>
      </c>
      <c r="C98" s="1" t="s">
        <v>2552</v>
      </c>
      <c r="D98" s="1" t="b">
        <v>1</v>
      </c>
      <c r="E98" s="84" t="b">
        <f ca="1">IF(DATA_SECOND_MTG_FLAG=TRUE,TRUE,FALSE)</f>
        <v>0</v>
      </c>
      <c r="F98" s="2" t="s">
        <v>2584</v>
      </c>
      <c r="G98" s="2" t="str">
        <f ca="1">IFERROR(VLOOKUP(DB_TBL_DATA_FIELDS[[#This Row],[FIELD_ID]],INDIRECT(DB_TBL_DATA_FIELDS[[#This Row],[SHEET_REF_CALC]]&amp;"!A:B"),2,FALSE),"")</f>
        <v/>
      </c>
      <c r="H98" s="21" t="str">
        <f ca="1">IF(NOT(DB_TBL_DATA_FIELDS[[#This Row],[FIELD_EMPTY_FLAG]]),DATA_SECOND_MTG_FLAG=TRUE,"")</f>
        <v/>
      </c>
      <c r="I98" s="2" t="b">
        <f ca="1">(DB_TBL_DATA_FIELDS[[#This Row],[FIELD_VALUE_RAW]]="")</f>
        <v>1</v>
      </c>
      <c r="J98" s="2" t="s">
        <v>39</v>
      </c>
      <c r="K98" s="1" t="b">
        <f ca="1">AND(IF(DB_TBL_DATA_FIELDS[[#This Row],[FIELD_VALID_CUSTOM_LOGIC]]="",TRUE,DB_TBL_DATA_FIELDS[[#This Row],[FIELD_VALID_CUSTOM_LOGIC]]),DB_TBL_DATA_FIELDS[[#This Row],[RANGE_VALIDATION_PASSED_FLAG]])</f>
        <v>0</v>
      </c>
      <c r="L98"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8" s="1" t="str">
        <f ca="1">IF(DB_TBL_DATA_FIELDS[[#This Row],[SHEET_REF_CALC]]="","",IF(DB_TBL_DATA_FIELDS[[#This Row],[FIELD_EMPTY_FLAG]],IF(NOT(DB_TBL_DATA_FIELDS[[#This Row],[FIELD_REQ_FLAG]]),-1,1),IF(NOT(DB_TBL_DATA_FIELDS[[#This Row],[FIELD_VALID_FLAG]]),0,2)))</f>
        <v/>
      </c>
      <c r="N98" s="1" t="str">
        <f ca="1">IFERROR(VLOOKUP(DB_TBL_DATA_FIELDS[[#This Row],[FIELD_STATUS_CODE]],DB_TBL_CONFIG_FIELDSTATUSCODES[#All],3,FALSE),"")</f>
        <v/>
      </c>
      <c r="O98" s="1" t="str">
        <f ca="1">IFERROR(VLOOKUP(DB_TBL_DATA_FIELDS[[#This Row],[FIELD_STATUS_CODE]],DB_TBL_CONFIG_FIELDSTATUSCODES[#All],4,FALSE),"")</f>
        <v/>
      </c>
      <c r="P98" s="1" t="b">
        <f>TRUE</f>
        <v>1</v>
      </c>
      <c r="Q98" s="1" t="b">
        <f>TRUE</f>
        <v>1</v>
      </c>
      <c r="R98" s="1" t="s">
        <v>39</v>
      </c>
      <c r="S98" s="1">
        <f ca="1">IF(DB_TBL_DATA_FIELDS[[#This Row],[RANGE_VALIDATION_FLAG]]="Text",LEN(DB_TBL_DATA_FIELDS[[#This Row],[FIELD_VALUE_RAW]]),IFERROR(VALUE(DB_TBL_DATA_FIELDS[[#This Row],[FIELD_VALUE_RAW]]),-1))</f>
        <v>-1</v>
      </c>
      <c r="T98" s="1">
        <v>0</v>
      </c>
      <c r="U98" s="1">
        <v>0.5</v>
      </c>
      <c r="V98" s="1" t="b">
        <f ca="1">IF(NOT(DB_TBL_DATA_FIELDS[[#This Row],[RANGE_VALIDATION_ON_FLAG]]),TRUE,
AND(DB_TBL_DATA_FIELDS[[#This Row],[RANGE_VALUE_LEN]]&gt;=DB_TBL_DATA_FIELDS[[#This Row],[RANGE_VALIDATION_MIN]],DB_TBL_DATA_FIELDS[[#This Row],[RANGE_VALUE_LEN]]&lt;=DB_TBL_DATA_FIELDS[[#This Row],[RANGE_VALIDATION_MAX]]))</f>
        <v>0</v>
      </c>
      <c r="W98" s="1">
        <v>1</v>
      </c>
      <c r="X98" s="1" t="str">
        <f ca="1">IF(DB_TBL_DATA_FIELDS[[#This Row],[PCT_CALC_SHOW_STATUS_CODE]]=1,
DB_TBL_DATA_FIELDS[[#This Row],[FIELD_STATUS_CODE]],
IF(AND(DB_TBL_DATA_FIELDS[[#This Row],[PCT_CALC_SHOW_STATUS_CODE]]=2,DB_TBL_DATA_FIELDS[[#This Row],[FIELD_STATUS_CODE]]=0),
DB_TBL_DATA_FIELDS[[#This Row],[FIELD_STATUS_CODE]],
"")
)</f>
        <v/>
      </c>
    </row>
    <row r="99" spans="1:26" ht="13.5" thickBot="1" x14ac:dyDescent="0.25">
      <c r="A99" s="104" t="s">
        <v>2209</v>
      </c>
      <c r="B99" s="108" t="str">
        <f ca="1">IFERROR(IF(FIND(DATA_EFORM_TYPE_CODE,DB_TBL_DATA_FIELDS[[#This Row],[APPLICABLE_EFORM_LIST]])&gt;0,DATA_EFORM_TYPE_CODE,""),"")</f>
        <v/>
      </c>
      <c r="C99" s="104" t="s">
        <v>2553</v>
      </c>
      <c r="D99" s="104" t="b">
        <v>1</v>
      </c>
      <c r="E99" s="170" t="b">
        <f ca="1">IF(DATA_SECOND_MTG_FLAG=TRUE,TRUE,FALSE)</f>
        <v>0</v>
      </c>
      <c r="F99" s="106" t="s">
        <v>2585</v>
      </c>
      <c r="G99" s="106" t="str">
        <f ca="1">IFERROR(VLOOKUP(DB_TBL_DATA_FIELDS[[#This Row],[FIELD_ID]],INDIRECT(DB_TBL_DATA_FIELDS[[#This Row],[SHEET_REF_CALC]]&amp;"!A:B"),2,FALSE),"")</f>
        <v/>
      </c>
      <c r="H99" s="107" t="str">
        <f ca="1">IF(NOT(DB_TBL_DATA_FIELDS[[#This Row],[FIELD_EMPTY_FLAG]]),DATA_SECOND_MTG_FLAG=TRUE,"")</f>
        <v/>
      </c>
      <c r="I99" s="106" t="b">
        <f ca="1">(DB_TBL_DATA_FIELDS[[#This Row],[FIELD_VALUE_RAW]]="")</f>
        <v>1</v>
      </c>
      <c r="J99" s="106" t="s">
        <v>39</v>
      </c>
      <c r="K99" s="104" t="b">
        <f ca="1">AND(IF(DB_TBL_DATA_FIELDS[[#This Row],[FIELD_VALID_CUSTOM_LOGIC]]="",TRUE,DB_TBL_DATA_FIELDS[[#This Row],[FIELD_VALID_CUSTOM_LOGIC]]),DB_TBL_DATA_FIELDS[[#This Row],[RANGE_VALIDATION_PASSED_FLAG]])</f>
        <v>0</v>
      </c>
      <c r="L99" s="106"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9" s="104" t="str">
        <f ca="1">IF(DB_TBL_DATA_FIELDS[[#This Row],[SHEET_REF_CALC]]="","",IF(DB_TBL_DATA_FIELDS[[#This Row],[FIELD_EMPTY_FLAG]],IF(NOT(DB_TBL_DATA_FIELDS[[#This Row],[FIELD_REQ_FLAG]]),-1,1),IF(NOT(DB_TBL_DATA_FIELDS[[#This Row],[FIELD_VALID_FLAG]]),0,2)))</f>
        <v/>
      </c>
      <c r="N99" s="104" t="str">
        <f ca="1">IFERROR(VLOOKUP(DB_TBL_DATA_FIELDS[[#This Row],[FIELD_STATUS_CODE]],DB_TBL_CONFIG_FIELDSTATUSCODES[#All],3,FALSE),"")</f>
        <v/>
      </c>
      <c r="O99" s="104" t="str">
        <f ca="1">IFERROR(VLOOKUP(DB_TBL_DATA_FIELDS[[#This Row],[FIELD_STATUS_CODE]],DB_TBL_CONFIG_FIELDSTATUSCODES[#All],4,FALSE),"")</f>
        <v/>
      </c>
      <c r="P99" s="104" t="b">
        <f>TRUE</f>
        <v>1</v>
      </c>
      <c r="Q99" s="104" t="b">
        <f>TRUE</f>
        <v>1</v>
      </c>
      <c r="R99" s="104" t="s">
        <v>39</v>
      </c>
      <c r="S99" s="104">
        <f ca="1">IF(DB_TBL_DATA_FIELDS[[#This Row],[RANGE_VALIDATION_FLAG]]="Text",LEN(DB_TBL_DATA_FIELDS[[#This Row],[FIELD_VALUE_RAW]]),IFERROR(VALUE(DB_TBL_DATA_FIELDS[[#This Row],[FIELD_VALUE_RAW]]),-1))</f>
        <v>-1</v>
      </c>
      <c r="T99" s="104">
        <v>1</v>
      </c>
      <c r="U99" s="104">
        <v>600</v>
      </c>
      <c r="V99" s="104" t="b">
        <f ca="1">IF(NOT(DB_TBL_DATA_FIELDS[[#This Row],[RANGE_VALIDATION_ON_FLAG]]),TRUE,
AND(DB_TBL_DATA_FIELDS[[#This Row],[RANGE_VALUE_LEN]]&gt;=DB_TBL_DATA_FIELDS[[#This Row],[RANGE_VALIDATION_MIN]],DB_TBL_DATA_FIELDS[[#This Row],[RANGE_VALUE_LEN]]&lt;=DB_TBL_DATA_FIELDS[[#This Row],[RANGE_VALIDATION_MAX]]))</f>
        <v>0</v>
      </c>
      <c r="W99" s="104">
        <v>1</v>
      </c>
      <c r="X99" s="104" t="str">
        <f ca="1">IF(DB_TBL_DATA_FIELDS[[#This Row],[PCT_CALC_SHOW_STATUS_CODE]]=1,
DB_TBL_DATA_FIELDS[[#This Row],[FIELD_STATUS_CODE]],
IF(AND(DB_TBL_DATA_FIELDS[[#This Row],[PCT_CALC_SHOW_STATUS_CODE]]=2,DB_TBL_DATA_FIELDS[[#This Row],[FIELD_STATUS_CODE]]=0),
DB_TBL_DATA_FIELDS[[#This Row],[FIELD_STATUS_CODE]],
"")
)</f>
        <v/>
      </c>
      <c r="Y99" s="104"/>
      <c r="Z99" s="104"/>
    </row>
    <row r="100" spans="1:26" x14ac:dyDescent="0.2">
      <c r="A100" s="1" t="s">
        <v>2209</v>
      </c>
      <c r="B100" s="16" t="str">
        <f ca="1">IFERROR(IF(FIND(DATA_EFORM_TYPE_CODE,DB_TBL_DATA_FIELDS[[#This Row],[APPLICABLE_EFORM_LIST]])&gt;0,DATA_EFORM_TYPE_CODE,""),"")</f>
        <v/>
      </c>
      <c r="C100" s="1" t="s">
        <v>2565</v>
      </c>
      <c r="D100" s="1" t="b">
        <v>0</v>
      </c>
      <c r="E100" s="18" t="b">
        <v>1</v>
      </c>
      <c r="F100" s="2" t="s">
        <v>2580</v>
      </c>
      <c r="G100" s="2" t="str">
        <f ca="1">IFERROR(VLOOKUP(DB_TBL_DATA_FIELDS[[#This Row],[FIELD_ID]],INDIRECT(DB_TBL_DATA_FIELDS[[#This Row],[SHEET_REF_CALC]]&amp;"!A:B"),2,FALSE),"")</f>
        <v/>
      </c>
      <c r="I100" s="2" t="b">
        <f ca="1">(DB_TBL_DATA_FIELDS[[#This Row],[FIELD_VALUE_RAW]]="")</f>
        <v>1</v>
      </c>
      <c r="J100" s="2" t="s">
        <v>140</v>
      </c>
      <c r="K100" s="1" t="b">
        <f>AND(IF(DB_TBL_DATA_FIELDS[[#This Row],[FIELD_VALID_CUSTOM_LOGIC]]="",TRUE,DB_TBL_DATA_FIELDS[[#This Row],[FIELD_VALID_CUSTOM_LOGIC]]),DB_TBL_DATA_FIELDS[[#This Row],[RANGE_VALIDATION_PASSED_FLAG]])</f>
        <v>1</v>
      </c>
      <c r="L100"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0" s="1" t="str">
        <f ca="1">IF(DB_TBL_DATA_FIELDS[[#This Row],[SHEET_REF_CALC]]="","",IF(DB_TBL_DATA_FIELDS[[#This Row],[FIELD_EMPTY_FLAG]],IF(NOT(DB_TBL_DATA_FIELDS[[#This Row],[FIELD_REQ_FLAG]]),-1,1),IF(NOT(DB_TBL_DATA_FIELDS[[#This Row],[FIELD_VALID_FLAG]]),0,2)))</f>
        <v/>
      </c>
      <c r="N100" s="1" t="str">
        <f ca="1">IFERROR(VLOOKUP(DB_TBL_DATA_FIELDS[[#This Row],[FIELD_STATUS_CODE]],DB_TBL_CONFIG_FIELDSTATUSCODES[#All],3,FALSE),"")</f>
        <v/>
      </c>
      <c r="O100" s="1" t="str">
        <f ca="1">IFERROR(VLOOKUP(DB_TBL_DATA_FIELDS[[#This Row],[FIELD_STATUS_CODE]],DB_TBL_CONFIG_FIELDSTATUSCODES[#All],4,FALSE),"")</f>
        <v/>
      </c>
      <c r="P100" s="1" t="b">
        <f>TRUE</f>
        <v>1</v>
      </c>
      <c r="Q100" s="1" t="b">
        <v>0</v>
      </c>
      <c r="S100" s="1">
        <f ca="1">IF(DB_TBL_DATA_FIELDS[[#This Row],[RANGE_VALIDATION_FLAG]]="Text",LEN(DB_TBL_DATA_FIELDS[[#This Row],[FIELD_VALUE_RAW]]),IFERROR(VALUE(DB_TBL_DATA_FIELDS[[#This Row],[FIELD_VALUE_RAW]]),-1))</f>
        <v>-1</v>
      </c>
      <c r="V100" s="1" t="b">
        <f>IF(NOT(DB_TBL_DATA_FIELDS[[#This Row],[RANGE_VALIDATION_ON_FLAG]]),TRUE,
AND(DB_TBL_DATA_FIELDS[[#This Row],[RANGE_VALUE_LEN]]&gt;=DB_TBL_DATA_FIELDS[[#This Row],[RANGE_VALIDATION_MIN]],DB_TBL_DATA_FIELDS[[#This Row],[RANGE_VALUE_LEN]]&lt;=DB_TBL_DATA_FIELDS[[#This Row],[RANGE_VALIDATION_MAX]]))</f>
        <v>1</v>
      </c>
      <c r="W100" s="1">
        <v>1</v>
      </c>
      <c r="X100" s="1" t="str">
        <f ca="1">IF(DB_TBL_DATA_FIELDS[[#This Row],[PCT_CALC_SHOW_STATUS_CODE]]=1,
DB_TBL_DATA_FIELDS[[#This Row],[FIELD_STATUS_CODE]],
IF(AND(DB_TBL_DATA_FIELDS[[#This Row],[PCT_CALC_SHOW_STATUS_CODE]]=2,DB_TBL_DATA_FIELDS[[#This Row],[FIELD_STATUS_CODE]]=0),
DB_TBL_DATA_FIELDS[[#This Row],[FIELD_STATUS_CODE]],
"")
)</f>
        <v/>
      </c>
    </row>
    <row r="101" spans="1:26" x14ac:dyDescent="0.2">
      <c r="A101" s="1" t="s">
        <v>2209</v>
      </c>
      <c r="B101" s="16" t="str">
        <f ca="1">IFERROR(IF(FIND(DATA_EFORM_TYPE_CODE,DB_TBL_DATA_FIELDS[[#This Row],[APPLICABLE_EFORM_LIST]])&gt;0,DATA_EFORM_TYPE_CODE,""),"")</f>
        <v/>
      </c>
      <c r="C101" s="1" t="s">
        <v>2554</v>
      </c>
      <c r="D101" s="1" t="b">
        <v>1</v>
      </c>
      <c r="E101" s="84" t="b">
        <f ca="1">IF(DATA_OTHER_NON_FHLB_GRANT_FLAG=TRUE,TRUE,FALSE)</f>
        <v>0</v>
      </c>
      <c r="F101" s="2" t="s">
        <v>2586</v>
      </c>
      <c r="G101" s="2" t="str">
        <f ca="1">IFERROR(VLOOKUP(DB_TBL_DATA_FIELDS[[#This Row],[FIELD_ID]],INDIRECT(DB_TBL_DATA_FIELDS[[#This Row],[SHEET_REF_CALC]]&amp;"!A:B"),2,FALSE),"")</f>
        <v/>
      </c>
      <c r="H101" s="21" t="str">
        <f ca="1">IF(NOT(DB_TBL_DATA_FIELDS[[#This Row],[FIELD_EMPTY_FLAG]]),DATA_OTHER_NON_FHLB_GRANT_FLAG=TRUE,"")</f>
        <v/>
      </c>
      <c r="I101" s="2" t="b">
        <f ca="1">(DB_TBL_DATA_FIELDS[[#This Row],[FIELD_VALUE_RAW]]="")</f>
        <v>1</v>
      </c>
      <c r="J101" s="2" t="s">
        <v>9</v>
      </c>
      <c r="K101" s="1" t="b">
        <f ca="1">AND(IF(DB_TBL_DATA_FIELDS[[#This Row],[FIELD_VALID_CUSTOM_LOGIC]]="",TRUE,DB_TBL_DATA_FIELDS[[#This Row],[FIELD_VALID_CUSTOM_LOGIC]]),DB_TBL_DATA_FIELDS[[#This Row],[RANGE_VALIDATION_PASSED_FLAG]])</f>
        <v>1</v>
      </c>
      <c r="L101"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1" s="1" t="str">
        <f ca="1">IF(DB_TBL_DATA_FIELDS[[#This Row],[SHEET_REF_CALC]]="","",IF(DB_TBL_DATA_FIELDS[[#This Row],[FIELD_EMPTY_FLAG]],IF(NOT(DB_TBL_DATA_FIELDS[[#This Row],[FIELD_REQ_FLAG]]),-1,1),IF(NOT(DB_TBL_DATA_FIELDS[[#This Row],[FIELD_VALID_FLAG]]),0,2)))</f>
        <v/>
      </c>
      <c r="N101" s="1" t="str">
        <f ca="1">IFERROR(VLOOKUP(DB_TBL_DATA_FIELDS[[#This Row],[FIELD_STATUS_CODE]],DB_TBL_CONFIG_FIELDSTATUSCODES[#All],3,FALSE),"")</f>
        <v/>
      </c>
      <c r="O101" s="1" t="str">
        <f ca="1">IFERROR(VLOOKUP(DB_TBL_DATA_FIELDS[[#This Row],[FIELD_STATUS_CODE]],DB_TBL_CONFIG_FIELDSTATUSCODES[#All],4,FALSE),"")</f>
        <v/>
      </c>
      <c r="P101" s="1" t="b">
        <f>TRUE</f>
        <v>1</v>
      </c>
      <c r="Q101" s="1" t="b">
        <f>TRUE</f>
        <v>1</v>
      </c>
      <c r="R101" s="1" t="s">
        <v>9</v>
      </c>
      <c r="S101" s="1">
        <f ca="1">IF(DB_TBL_DATA_FIELDS[[#This Row],[RANGE_VALIDATION_FLAG]]="Text",LEN(DB_TBL_DATA_FIELDS[[#This Row],[FIELD_VALUE_RAW]]),IFERROR(VALUE(DB_TBL_DATA_FIELDS[[#This Row],[FIELD_VALUE_RAW]]),-1))</f>
        <v>0</v>
      </c>
      <c r="T101" s="1">
        <v>0</v>
      </c>
      <c r="U101" s="1">
        <v>100</v>
      </c>
      <c r="V101" s="1" t="b">
        <f ca="1">IF(NOT(DB_TBL_DATA_FIELDS[[#This Row],[RANGE_VALIDATION_ON_FLAG]]),TRUE,
AND(DB_TBL_DATA_FIELDS[[#This Row],[RANGE_VALUE_LEN]]&gt;=DB_TBL_DATA_FIELDS[[#This Row],[RANGE_VALIDATION_MIN]],DB_TBL_DATA_FIELDS[[#This Row],[RANGE_VALUE_LEN]]&lt;=DB_TBL_DATA_FIELDS[[#This Row],[RANGE_VALIDATION_MAX]]))</f>
        <v>1</v>
      </c>
      <c r="W101" s="1">
        <v>1</v>
      </c>
      <c r="X101" s="1" t="str">
        <f ca="1">IF(DB_TBL_DATA_FIELDS[[#This Row],[PCT_CALC_SHOW_STATUS_CODE]]=1,
DB_TBL_DATA_FIELDS[[#This Row],[FIELD_STATUS_CODE]],
IF(AND(DB_TBL_DATA_FIELDS[[#This Row],[PCT_CALC_SHOW_STATUS_CODE]]=2,DB_TBL_DATA_FIELDS[[#This Row],[FIELD_STATUS_CODE]]=0),
DB_TBL_DATA_FIELDS[[#This Row],[FIELD_STATUS_CODE]],
"")
)</f>
        <v/>
      </c>
    </row>
    <row r="102" spans="1:26" x14ac:dyDescent="0.2">
      <c r="A102" s="1" t="s">
        <v>2209</v>
      </c>
      <c r="B102" s="16" t="str">
        <f ca="1">IFERROR(IF(FIND(DATA_EFORM_TYPE_CODE,DB_TBL_DATA_FIELDS[[#This Row],[APPLICABLE_EFORM_LIST]])&gt;0,DATA_EFORM_TYPE_CODE,""),"")</f>
        <v/>
      </c>
      <c r="C102" s="1" t="s">
        <v>2555</v>
      </c>
      <c r="D102" s="1" t="b">
        <v>1</v>
      </c>
      <c r="E102" s="84" t="b">
        <f ca="1">IF(DATA_OTHER_NON_FHLB_GRANT_FLAG=TRUE,TRUE,FALSE)</f>
        <v>0</v>
      </c>
      <c r="F102" s="2" t="s">
        <v>2587</v>
      </c>
      <c r="G102" s="2" t="str">
        <f ca="1">IFERROR(VLOOKUP(DB_TBL_DATA_FIELDS[[#This Row],[FIELD_ID]],INDIRECT(DB_TBL_DATA_FIELDS[[#This Row],[SHEET_REF_CALC]]&amp;"!A:B"),2,FALSE),"")</f>
        <v/>
      </c>
      <c r="H102" s="21" t="str">
        <f ca="1">IF(NOT(DB_TBL_DATA_FIELDS[[#This Row],[FIELD_EMPTY_FLAG]]),DATA_OTHER_NON_FHLB_GRANT_FLAG=TRUE,"")</f>
        <v/>
      </c>
      <c r="I102" s="2" t="b">
        <f ca="1">(DB_TBL_DATA_FIELDS[[#This Row],[FIELD_VALUE_RAW]]="")</f>
        <v>1</v>
      </c>
      <c r="J102" s="2" t="s">
        <v>39</v>
      </c>
      <c r="K102" s="1" t="b">
        <f ca="1">AND(IF(DB_TBL_DATA_FIELDS[[#This Row],[FIELD_VALID_CUSTOM_LOGIC]]="",TRUE,DB_TBL_DATA_FIELDS[[#This Row],[FIELD_VALID_CUSTOM_LOGIC]]),DB_TBL_DATA_FIELDS[[#This Row],[RANGE_VALIDATION_PASSED_FLAG]])</f>
        <v>0</v>
      </c>
      <c r="L102"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2" s="1" t="str">
        <f ca="1">IF(DB_TBL_DATA_FIELDS[[#This Row],[SHEET_REF_CALC]]="","",IF(DB_TBL_DATA_FIELDS[[#This Row],[FIELD_EMPTY_FLAG]],IF(NOT(DB_TBL_DATA_FIELDS[[#This Row],[FIELD_REQ_FLAG]]),-1,1),IF(NOT(DB_TBL_DATA_FIELDS[[#This Row],[FIELD_VALID_FLAG]]),0,2)))</f>
        <v/>
      </c>
      <c r="N102" s="1" t="str">
        <f ca="1">IFERROR(VLOOKUP(DB_TBL_DATA_FIELDS[[#This Row],[FIELD_STATUS_CODE]],DB_TBL_CONFIG_FIELDSTATUSCODES[#All],3,FALSE),"")</f>
        <v/>
      </c>
      <c r="O102" s="1" t="str">
        <f ca="1">IFERROR(VLOOKUP(DB_TBL_DATA_FIELDS[[#This Row],[FIELD_STATUS_CODE]],DB_TBL_CONFIG_FIELDSTATUSCODES[#All],4,FALSE),"")</f>
        <v/>
      </c>
      <c r="P102" s="1" t="b">
        <f>TRUE</f>
        <v>1</v>
      </c>
      <c r="Q102" s="1" t="b">
        <f>TRUE</f>
        <v>1</v>
      </c>
      <c r="R102" s="1" t="s">
        <v>39</v>
      </c>
      <c r="S102" s="1">
        <f ca="1">IF(DB_TBL_DATA_FIELDS[[#This Row],[RANGE_VALIDATION_FLAG]]="Text",LEN(DB_TBL_DATA_FIELDS[[#This Row],[FIELD_VALUE_RAW]]),IFERROR(VALUE(DB_TBL_DATA_FIELDS[[#This Row],[FIELD_VALUE_RAW]]),-1))</f>
        <v>-1</v>
      </c>
      <c r="T102" s="1">
        <v>0</v>
      </c>
      <c r="U102" s="1">
        <v>999999999</v>
      </c>
      <c r="V102" s="1" t="b">
        <f ca="1">IF(NOT(DB_TBL_DATA_FIELDS[[#This Row],[RANGE_VALIDATION_ON_FLAG]]),TRUE,
AND(DB_TBL_DATA_FIELDS[[#This Row],[RANGE_VALUE_LEN]]&gt;=DB_TBL_DATA_FIELDS[[#This Row],[RANGE_VALIDATION_MIN]],DB_TBL_DATA_FIELDS[[#This Row],[RANGE_VALUE_LEN]]&lt;=DB_TBL_DATA_FIELDS[[#This Row],[RANGE_VALIDATION_MAX]]))</f>
        <v>0</v>
      </c>
      <c r="W102" s="1">
        <v>1</v>
      </c>
      <c r="X102" s="1" t="str">
        <f ca="1">IF(DB_TBL_DATA_FIELDS[[#This Row],[PCT_CALC_SHOW_STATUS_CODE]]=1,
DB_TBL_DATA_FIELDS[[#This Row],[FIELD_STATUS_CODE]],
IF(AND(DB_TBL_DATA_FIELDS[[#This Row],[PCT_CALC_SHOW_STATUS_CODE]]=2,DB_TBL_DATA_FIELDS[[#This Row],[FIELD_STATUS_CODE]]=0),
DB_TBL_DATA_FIELDS[[#This Row],[FIELD_STATUS_CODE]],
"")
)</f>
        <v/>
      </c>
    </row>
    <row r="103" spans="1:26" x14ac:dyDescent="0.2">
      <c r="A103" s="1" t="s">
        <v>2209</v>
      </c>
      <c r="B103" s="16" t="str">
        <f ca="1">IFERROR(IF(FIND(DATA_EFORM_TYPE_CODE,DB_TBL_DATA_FIELDS[[#This Row],[APPLICABLE_EFORM_LIST]])&gt;0,DATA_EFORM_TYPE_CODE,""),"")</f>
        <v/>
      </c>
      <c r="C103" s="1" t="s">
        <v>2556</v>
      </c>
      <c r="D103" s="1" t="b">
        <v>1</v>
      </c>
      <c r="E103" s="18" t="b">
        <v>0</v>
      </c>
      <c r="F103" s="2" t="s">
        <v>2588</v>
      </c>
      <c r="G103" s="2" t="str">
        <f ca="1">IFERROR(VLOOKUP(DB_TBL_DATA_FIELDS[[#This Row],[FIELD_ID]],INDIRECT(DB_TBL_DATA_FIELDS[[#This Row],[SHEET_REF_CALC]]&amp;"!A:B"),2,FALSE),"")</f>
        <v/>
      </c>
      <c r="H103" s="21" t="str">
        <f ca="1">IF(NOT(DB_TBL_DATA_FIELDS[[#This Row],[FIELD_EMPTY_FLAG]]),AND(DATA_OTHER_NON_FHLB_GRANT_FLAG=TRUE,NOT($I$101)),"")</f>
        <v/>
      </c>
      <c r="I103" s="2" t="b">
        <f ca="1">(DB_TBL_DATA_FIELDS[[#This Row],[FIELD_VALUE_RAW]]="")</f>
        <v>1</v>
      </c>
      <c r="J103" s="2" t="s">
        <v>9</v>
      </c>
      <c r="K103" s="1" t="b">
        <f ca="1">AND(IF(DB_TBL_DATA_FIELDS[[#This Row],[FIELD_VALID_CUSTOM_LOGIC]]="",TRUE,DB_TBL_DATA_FIELDS[[#This Row],[FIELD_VALID_CUSTOM_LOGIC]]),DB_TBL_DATA_FIELDS[[#This Row],[RANGE_VALIDATION_PASSED_FLAG]])</f>
        <v>1</v>
      </c>
      <c r="L103"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3" s="1" t="str">
        <f ca="1">IF(DB_TBL_DATA_FIELDS[[#This Row],[SHEET_REF_CALC]]="","",IF(DB_TBL_DATA_FIELDS[[#This Row],[FIELD_EMPTY_FLAG]],IF(NOT(DB_TBL_DATA_FIELDS[[#This Row],[FIELD_REQ_FLAG]]),-1,1),IF(NOT(DB_TBL_DATA_FIELDS[[#This Row],[FIELD_VALID_FLAG]]),0,2)))</f>
        <v/>
      </c>
      <c r="N103" s="1" t="str">
        <f ca="1">IFERROR(VLOOKUP(DB_TBL_DATA_FIELDS[[#This Row],[FIELD_STATUS_CODE]],DB_TBL_CONFIG_FIELDSTATUSCODES[#All],3,FALSE),"")</f>
        <v/>
      </c>
      <c r="O103" s="1" t="str">
        <f ca="1">IFERROR(VLOOKUP(DB_TBL_DATA_FIELDS[[#This Row],[FIELD_STATUS_CODE]],DB_TBL_CONFIG_FIELDSTATUSCODES[#All],4,FALSE),"")</f>
        <v/>
      </c>
      <c r="P103" s="1" t="b">
        <f>TRUE</f>
        <v>1</v>
      </c>
      <c r="Q103" s="1" t="b">
        <f>TRUE</f>
        <v>1</v>
      </c>
      <c r="R103" s="1" t="s">
        <v>9</v>
      </c>
      <c r="S103" s="1">
        <f ca="1">IF(DB_TBL_DATA_FIELDS[[#This Row],[RANGE_VALIDATION_FLAG]]="Text",LEN(DB_TBL_DATA_FIELDS[[#This Row],[FIELD_VALUE_RAW]]),IFERROR(VALUE(DB_TBL_DATA_FIELDS[[#This Row],[FIELD_VALUE_RAW]]),-1))</f>
        <v>0</v>
      </c>
      <c r="T103" s="1">
        <v>0</v>
      </c>
      <c r="U103" s="1">
        <v>100</v>
      </c>
      <c r="V103" s="1" t="b">
        <f ca="1">IF(NOT(DB_TBL_DATA_FIELDS[[#This Row],[RANGE_VALIDATION_ON_FLAG]]),TRUE,
AND(DB_TBL_DATA_FIELDS[[#This Row],[RANGE_VALUE_LEN]]&gt;=DB_TBL_DATA_FIELDS[[#This Row],[RANGE_VALIDATION_MIN]],DB_TBL_DATA_FIELDS[[#This Row],[RANGE_VALUE_LEN]]&lt;=DB_TBL_DATA_FIELDS[[#This Row],[RANGE_VALIDATION_MAX]]))</f>
        <v>1</v>
      </c>
      <c r="W103" s="1">
        <v>1</v>
      </c>
      <c r="X103" s="1" t="str">
        <f ca="1">IF(DB_TBL_DATA_FIELDS[[#This Row],[PCT_CALC_SHOW_STATUS_CODE]]=1,
DB_TBL_DATA_FIELDS[[#This Row],[FIELD_STATUS_CODE]],
IF(AND(DB_TBL_DATA_FIELDS[[#This Row],[PCT_CALC_SHOW_STATUS_CODE]]=2,DB_TBL_DATA_FIELDS[[#This Row],[FIELD_STATUS_CODE]]=0),
DB_TBL_DATA_FIELDS[[#This Row],[FIELD_STATUS_CODE]],
"")
)</f>
        <v/>
      </c>
    </row>
    <row r="104" spans="1:26" x14ac:dyDescent="0.2">
      <c r="A104" s="1" t="s">
        <v>2209</v>
      </c>
      <c r="B104" s="16" t="str">
        <f ca="1">IFERROR(IF(FIND(DATA_EFORM_TYPE_CODE,DB_TBL_DATA_FIELDS[[#This Row],[APPLICABLE_EFORM_LIST]])&gt;0,DATA_EFORM_TYPE_CODE,""),"")</f>
        <v/>
      </c>
      <c r="C104" s="1" t="s">
        <v>2557</v>
      </c>
      <c r="D104" s="1" t="b">
        <v>1</v>
      </c>
      <c r="E104" s="84" t="b">
        <f ca="1">IF(AND(DATA_OTHER_NON_FHLB_GRANT_FLAG=TRUE,$H103=TRUE),TRUE,FALSE)</f>
        <v>0</v>
      </c>
      <c r="F104" s="2" t="s">
        <v>2589</v>
      </c>
      <c r="G104" s="2" t="str">
        <f ca="1">IFERROR(VLOOKUP(DB_TBL_DATA_FIELDS[[#This Row],[FIELD_ID]],INDIRECT(DB_TBL_DATA_FIELDS[[#This Row],[SHEET_REF_CALC]]&amp;"!A:B"),2,FALSE),"")</f>
        <v/>
      </c>
      <c r="H104" s="21" t="str">
        <f ca="1">IF(DB_TBL_DATA_FIELDS[[#This Row],[FIELD_EMPTY_FLAG]],"",IF(NOT(DB_TBL_DATA_FIELDS[[#This Row],[FIELD_REQ_FLAG]]),FALSE,TRUE))</f>
        <v/>
      </c>
      <c r="I104" s="2" t="b">
        <f ca="1">(DB_TBL_DATA_FIELDS[[#This Row],[FIELD_VALUE_RAW]]="")</f>
        <v>1</v>
      </c>
      <c r="J104" s="2" t="s">
        <v>39</v>
      </c>
      <c r="K104" s="1" t="b">
        <f ca="1">AND(IF(DB_TBL_DATA_FIELDS[[#This Row],[FIELD_VALID_CUSTOM_LOGIC]]="",TRUE,DB_TBL_DATA_FIELDS[[#This Row],[FIELD_VALID_CUSTOM_LOGIC]]),DB_TBL_DATA_FIELDS[[#This Row],[RANGE_VALIDATION_PASSED_FLAG]])</f>
        <v>0</v>
      </c>
      <c r="L104"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4" s="1" t="str">
        <f ca="1">IF(DB_TBL_DATA_FIELDS[[#This Row],[SHEET_REF_CALC]]="","",IF(DB_TBL_DATA_FIELDS[[#This Row],[FIELD_EMPTY_FLAG]],IF(NOT(DB_TBL_DATA_FIELDS[[#This Row],[FIELD_REQ_FLAG]]),-1,1),IF(NOT(DB_TBL_DATA_FIELDS[[#This Row],[FIELD_VALID_FLAG]]),0,2)))</f>
        <v/>
      </c>
      <c r="N104" s="1" t="str">
        <f ca="1">IFERROR(VLOOKUP(DB_TBL_DATA_FIELDS[[#This Row],[FIELD_STATUS_CODE]],DB_TBL_CONFIG_FIELDSTATUSCODES[#All],3,FALSE),"")</f>
        <v/>
      </c>
      <c r="O104" s="1" t="str">
        <f ca="1">IFERROR(VLOOKUP(DB_TBL_DATA_FIELDS[[#This Row],[FIELD_STATUS_CODE]],DB_TBL_CONFIG_FIELDSTATUSCODES[#All],4,FALSE),"")</f>
        <v/>
      </c>
      <c r="P104" s="1" t="b">
        <f>TRUE</f>
        <v>1</v>
      </c>
      <c r="Q104" s="1" t="b">
        <f>TRUE</f>
        <v>1</v>
      </c>
      <c r="R104" s="1" t="s">
        <v>39</v>
      </c>
      <c r="S104" s="1">
        <f ca="1">IF(DB_TBL_DATA_FIELDS[[#This Row],[RANGE_VALIDATION_FLAG]]="Text",LEN(DB_TBL_DATA_FIELDS[[#This Row],[FIELD_VALUE_RAW]]),IFERROR(VALUE(DB_TBL_DATA_FIELDS[[#This Row],[FIELD_VALUE_RAW]]),-1))</f>
        <v>-1</v>
      </c>
      <c r="T104" s="1">
        <v>0</v>
      </c>
      <c r="U104" s="1">
        <v>999999999</v>
      </c>
      <c r="V104" s="1" t="b">
        <f ca="1">IF(NOT(DB_TBL_DATA_FIELDS[[#This Row],[RANGE_VALIDATION_ON_FLAG]]),TRUE,
AND(DB_TBL_DATA_FIELDS[[#This Row],[RANGE_VALUE_LEN]]&gt;=DB_TBL_DATA_FIELDS[[#This Row],[RANGE_VALIDATION_MIN]],DB_TBL_DATA_FIELDS[[#This Row],[RANGE_VALUE_LEN]]&lt;=DB_TBL_DATA_FIELDS[[#This Row],[RANGE_VALIDATION_MAX]]))</f>
        <v>0</v>
      </c>
      <c r="W104" s="1">
        <v>1</v>
      </c>
      <c r="X104" s="1" t="str">
        <f ca="1">IF(DB_TBL_DATA_FIELDS[[#This Row],[PCT_CALC_SHOW_STATUS_CODE]]=1,
DB_TBL_DATA_FIELDS[[#This Row],[FIELD_STATUS_CODE]],
IF(AND(DB_TBL_DATA_FIELDS[[#This Row],[PCT_CALC_SHOW_STATUS_CODE]]=2,DB_TBL_DATA_FIELDS[[#This Row],[FIELD_STATUS_CODE]]=0),
DB_TBL_DATA_FIELDS[[#This Row],[FIELD_STATUS_CODE]],
"")
)</f>
        <v/>
      </c>
    </row>
    <row r="105" spans="1:26" x14ac:dyDescent="0.2">
      <c r="A105" s="1" t="s">
        <v>2209</v>
      </c>
      <c r="B105" s="16" t="str">
        <f ca="1">IFERROR(IF(FIND(DATA_EFORM_TYPE_CODE,DB_TBL_DATA_FIELDS[[#This Row],[APPLICABLE_EFORM_LIST]])&gt;0,DATA_EFORM_TYPE_CODE,""),"")</f>
        <v/>
      </c>
      <c r="C105" s="1" t="s">
        <v>2558</v>
      </c>
      <c r="D105" s="1" t="b">
        <v>1</v>
      </c>
      <c r="E105" s="18" t="b">
        <v>0</v>
      </c>
      <c r="F105" s="2" t="s">
        <v>2590</v>
      </c>
      <c r="G105" s="2" t="str">
        <f ca="1">IFERROR(VLOOKUP(DB_TBL_DATA_FIELDS[[#This Row],[FIELD_ID]],INDIRECT(DB_TBL_DATA_FIELDS[[#This Row],[SHEET_REF_CALC]]&amp;"!A:B"),2,FALSE),"")</f>
        <v/>
      </c>
      <c r="H105" s="21" t="str">
        <f ca="1">IF(NOT(DB_TBL_DATA_FIELDS[[#This Row],[FIELD_EMPTY_FLAG]]),AND(DATA_OTHER_NON_FHLB_GRANT_FLAG=TRUE,NOT($I$101),NOT($I$103)),"")</f>
        <v/>
      </c>
      <c r="I105" s="2" t="b">
        <f ca="1">(DB_TBL_DATA_FIELDS[[#This Row],[FIELD_VALUE_RAW]]="")</f>
        <v>1</v>
      </c>
      <c r="J105" s="2" t="s">
        <v>9</v>
      </c>
      <c r="K105" s="1" t="b">
        <f ca="1">AND(IF(DB_TBL_DATA_FIELDS[[#This Row],[FIELD_VALID_CUSTOM_LOGIC]]="",TRUE,DB_TBL_DATA_FIELDS[[#This Row],[FIELD_VALID_CUSTOM_LOGIC]]),DB_TBL_DATA_FIELDS[[#This Row],[RANGE_VALIDATION_PASSED_FLAG]])</f>
        <v>1</v>
      </c>
      <c r="L105"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5" s="1" t="str">
        <f ca="1">IF(DB_TBL_DATA_FIELDS[[#This Row],[SHEET_REF_CALC]]="","",IF(DB_TBL_DATA_FIELDS[[#This Row],[FIELD_EMPTY_FLAG]],IF(NOT(DB_TBL_DATA_FIELDS[[#This Row],[FIELD_REQ_FLAG]]),-1,1),IF(NOT(DB_TBL_DATA_FIELDS[[#This Row],[FIELD_VALID_FLAG]]),0,2)))</f>
        <v/>
      </c>
      <c r="N105" s="1" t="str">
        <f ca="1">IFERROR(VLOOKUP(DB_TBL_DATA_FIELDS[[#This Row],[FIELD_STATUS_CODE]],DB_TBL_CONFIG_FIELDSTATUSCODES[#All],3,FALSE),"")</f>
        <v/>
      </c>
      <c r="O105" s="1" t="str">
        <f ca="1">IFERROR(VLOOKUP(DB_TBL_DATA_FIELDS[[#This Row],[FIELD_STATUS_CODE]],DB_TBL_CONFIG_FIELDSTATUSCODES[#All],4,FALSE),"")</f>
        <v/>
      </c>
      <c r="P105" s="1" t="b">
        <f>TRUE</f>
        <v>1</v>
      </c>
      <c r="Q105" s="1" t="b">
        <f>TRUE</f>
        <v>1</v>
      </c>
      <c r="R105" s="1" t="s">
        <v>9</v>
      </c>
      <c r="S105" s="1">
        <f ca="1">IF(DB_TBL_DATA_FIELDS[[#This Row],[RANGE_VALIDATION_FLAG]]="Text",LEN(DB_TBL_DATA_FIELDS[[#This Row],[FIELD_VALUE_RAW]]),IFERROR(VALUE(DB_TBL_DATA_FIELDS[[#This Row],[FIELD_VALUE_RAW]]),-1))</f>
        <v>0</v>
      </c>
      <c r="T105" s="1">
        <v>0</v>
      </c>
      <c r="U105" s="1">
        <v>100</v>
      </c>
      <c r="V105" s="1" t="b">
        <f ca="1">IF(NOT(DB_TBL_DATA_FIELDS[[#This Row],[RANGE_VALIDATION_ON_FLAG]]),TRUE,
AND(DB_TBL_DATA_FIELDS[[#This Row],[RANGE_VALUE_LEN]]&gt;=DB_TBL_DATA_FIELDS[[#This Row],[RANGE_VALIDATION_MIN]],DB_TBL_DATA_FIELDS[[#This Row],[RANGE_VALUE_LEN]]&lt;=DB_TBL_DATA_FIELDS[[#This Row],[RANGE_VALIDATION_MAX]]))</f>
        <v>1</v>
      </c>
      <c r="W105" s="1">
        <v>1</v>
      </c>
      <c r="X105" s="1" t="str">
        <f ca="1">IF(DB_TBL_DATA_FIELDS[[#This Row],[PCT_CALC_SHOW_STATUS_CODE]]=1,
DB_TBL_DATA_FIELDS[[#This Row],[FIELD_STATUS_CODE]],
IF(AND(DB_TBL_DATA_FIELDS[[#This Row],[PCT_CALC_SHOW_STATUS_CODE]]=2,DB_TBL_DATA_FIELDS[[#This Row],[FIELD_STATUS_CODE]]=0),
DB_TBL_DATA_FIELDS[[#This Row],[FIELD_STATUS_CODE]],
"")
)</f>
        <v/>
      </c>
    </row>
    <row r="106" spans="1:26" x14ac:dyDescent="0.2">
      <c r="A106" s="1" t="s">
        <v>2209</v>
      </c>
      <c r="B106" s="16" t="str">
        <f ca="1">IFERROR(IF(FIND(DATA_EFORM_TYPE_CODE,DB_TBL_DATA_FIELDS[[#This Row],[APPLICABLE_EFORM_LIST]])&gt;0,DATA_EFORM_TYPE_CODE,""),"")</f>
        <v/>
      </c>
      <c r="C106" s="1" t="s">
        <v>2559</v>
      </c>
      <c r="D106" s="1" t="b">
        <v>1</v>
      </c>
      <c r="E106" s="84" t="b">
        <f ca="1">IF(AND(DATA_OTHER_NON_FHLB_GRANT_FLAG=TRUE,$H105=TRUE),TRUE,FALSE)</f>
        <v>0</v>
      </c>
      <c r="F106" s="2" t="s">
        <v>2591</v>
      </c>
      <c r="G106" s="2" t="str">
        <f ca="1">IFERROR(VLOOKUP(DB_TBL_DATA_FIELDS[[#This Row],[FIELD_ID]],INDIRECT(DB_TBL_DATA_FIELDS[[#This Row],[SHEET_REF_CALC]]&amp;"!A:B"),2,FALSE),"")</f>
        <v/>
      </c>
      <c r="H106" s="21" t="str">
        <f ca="1">IF(DB_TBL_DATA_FIELDS[[#This Row],[FIELD_EMPTY_FLAG]],"",IF(NOT(DB_TBL_DATA_FIELDS[[#This Row],[FIELD_REQ_FLAG]]),FALSE,TRUE))</f>
        <v/>
      </c>
      <c r="I106" s="2" t="b">
        <f ca="1">(DB_TBL_DATA_FIELDS[[#This Row],[FIELD_VALUE_RAW]]="")</f>
        <v>1</v>
      </c>
      <c r="J106" s="2" t="s">
        <v>39</v>
      </c>
      <c r="K106" s="1" t="b">
        <f ca="1">AND(IF(DB_TBL_DATA_FIELDS[[#This Row],[FIELD_VALID_CUSTOM_LOGIC]]="",TRUE,DB_TBL_DATA_FIELDS[[#This Row],[FIELD_VALID_CUSTOM_LOGIC]]),DB_TBL_DATA_FIELDS[[#This Row],[RANGE_VALIDATION_PASSED_FLAG]])</f>
        <v>0</v>
      </c>
      <c r="L106"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6" s="1" t="str">
        <f ca="1">IF(DB_TBL_DATA_FIELDS[[#This Row],[SHEET_REF_CALC]]="","",IF(DB_TBL_DATA_FIELDS[[#This Row],[FIELD_EMPTY_FLAG]],IF(NOT(DB_TBL_DATA_FIELDS[[#This Row],[FIELD_REQ_FLAG]]),-1,1),IF(NOT(DB_TBL_DATA_FIELDS[[#This Row],[FIELD_VALID_FLAG]]),0,2)))</f>
        <v/>
      </c>
      <c r="N106" s="1" t="str">
        <f ca="1">IFERROR(VLOOKUP(DB_TBL_DATA_FIELDS[[#This Row],[FIELD_STATUS_CODE]],DB_TBL_CONFIG_FIELDSTATUSCODES[#All],3,FALSE),"")</f>
        <v/>
      </c>
      <c r="O106" s="1" t="str">
        <f ca="1">IFERROR(VLOOKUP(DB_TBL_DATA_FIELDS[[#This Row],[FIELD_STATUS_CODE]],DB_TBL_CONFIG_FIELDSTATUSCODES[#All],4,FALSE),"")</f>
        <v/>
      </c>
      <c r="P106" s="1" t="b">
        <f>TRUE</f>
        <v>1</v>
      </c>
      <c r="Q106" s="1" t="b">
        <f>TRUE</f>
        <v>1</v>
      </c>
      <c r="R106" s="1" t="s">
        <v>39</v>
      </c>
      <c r="S106" s="1">
        <f ca="1">IF(DB_TBL_DATA_FIELDS[[#This Row],[RANGE_VALIDATION_FLAG]]="Text",LEN(DB_TBL_DATA_FIELDS[[#This Row],[FIELD_VALUE_RAW]]),IFERROR(VALUE(DB_TBL_DATA_FIELDS[[#This Row],[FIELD_VALUE_RAW]]),-1))</f>
        <v>-1</v>
      </c>
      <c r="T106" s="1">
        <v>0</v>
      </c>
      <c r="U106" s="1">
        <v>999999999</v>
      </c>
      <c r="V106" s="1" t="b">
        <f ca="1">IF(NOT(DB_TBL_DATA_FIELDS[[#This Row],[RANGE_VALIDATION_ON_FLAG]]),TRUE,
AND(DB_TBL_DATA_FIELDS[[#This Row],[RANGE_VALUE_LEN]]&gt;=DB_TBL_DATA_FIELDS[[#This Row],[RANGE_VALIDATION_MIN]],DB_TBL_DATA_FIELDS[[#This Row],[RANGE_VALUE_LEN]]&lt;=DB_TBL_DATA_FIELDS[[#This Row],[RANGE_VALIDATION_MAX]]))</f>
        <v>0</v>
      </c>
      <c r="W106" s="1">
        <v>1</v>
      </c>
      <c r="X106" s="1" t="str">
        <f ca="1">IF(DB_TBL_DATA_FIELDS[[#This Row],[PCT_CALC_SHOW_STATUS_CODE]]=1,
DB_TBL_DATA_FIELDS[[#This Row],[FIELD_STATUS_CODE]],
IF(AND(DB_TBL_DATA_FIELDS[[#This Row],[PCT_CALC_SHOW_STATUS_CODE]]=2,DB_TBL_DATA_FIELDS[[#This Row],[FIELD_STATUS_CODE]]=0),
DB_TBL_DATA_FIELDS[[#This Row],[FIELD_STATUS_CODE]],
"")
)</f>
        <v/>
      </c>
    </row>
    <row r="107" spans="1:26" x14ac:dyDescent="0.2">
      <c r="A107" s="1" t="s">
        <v>2209</v>
      </c>
      <c r="B107" s="16" t="str">
        <f ca="1">IFERROR(IF(FIND(DATA_EFORM_TYPE_CODE,DB_TBL_DATA_FIELDS[[#This Row],[APPLICABLE_EFORM_LIST]])&gt;0,DATA_EFORM_TYPE_CODE,""),"")</f>
        <v/>
      </c>
      <c r="C107" s="1" t="s">
        <v>2560</v>
      </c>
      <c r="D107" s="1" t="b">
        <v>1</v>
      </c>
      <c r="E107" s="18" t="b">
        <v>0</v>
      </c>
      <c r="F107" s="2" t="s">
        <v>2592</v>
      </c>
      <c r="G107" s="2" t="str">
        <f ca="1">IFERROR(VLOOKUP(DB_TBL_DATA_FIELDS[[#This Row],[FIELD_ID]],INDIRECT(DB_TBL_DATA_FIELDS[[#This Row],[SHEET_REF_CALC]]&amp;"!A:B"),2,FALSE),"")</f>
        <v/>
      </c>
      <c r="H107" s="21" t="str">
        <f ca="1">IF(NOT(DB_TBL_DATA_FIELDS[[#This Row],[FIELD_EMPTY_FLAG]]),AND(DATA_OTHER_NON_FHLB_GRANT_FLAG=TRUE,NOT($I$101),NOT($I$103),NOT($I$105)),"")</f>
        <v/>
      </c>
      <c r="I107" s="2" t="b">
        <f ca="1">(DB_TBL_DATA_FIELDS[[#This Row],[FIELD_VALUE_RAW]]="")</f>
        <v>1</v>
      </c>
      <c r="J107" s="2" t="s">
        <v>9</v>
      </c>
      <c r="K107" s="1" t="b">
        <f ca="1">AND(IF(DB_TBL_DATA_FIELDS[[#This Row],[FIELD_VALID_CUSTOM_LOGIC]]="",TRUE,DB_TBL_DATA_FIELDS[[#This Row],[FIELD_VALID_CUSTOM_LOGIC]]),DB_TBL_DATA_FIELDS[[#This Row],[RANGE_VALIDATION_PASSED_FLAG]])</f>
        <v>1</v>
      </c>
      <c r="L107"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7" s="1" t="str">
        <f ca="1">IF(DB_TBL_DATA_FIELDS[[#This Row],[SHEET_REF_CALC]]="","",IF(DB_TBL_DATA_FIELDS[[#This Row],[FIELD_EMPTY_FLAG]],IF(NOT(DB_TBL_DATA_FIELDS[[#This Row],[FIELD_REQ_FLAG]]),-1,1),IF(NOT(DB_TBL_DATA_FIELDS[[#This Row],[FIELD_VALID_FLAG]]),0,2)))</f>
        <v/>
      </c>
      <c r="N107" s="1" t="str">
        <f ca="1">IFERROR(VLOOKUP(DB_TBL_DATA_FIELDS[[#This Row],[FIELD_STATUS_CODE]],DB_TBL_CONFIG_FIELDSTATUSCODES[#All],3,FALSE),"")</f>
        <v/>
      </c>
      <c r="O107" s="1" t="str">
        <f ca="1">IFERROR(VLOOKUP(DB_TBL_DATA_FIELDS[[#This Row],[FIELD_STATUS_CODE]],DB_TBL_CONFIG_FIELDSTATUSCODES[#All],4,FALSE),"")</f>
        <v/>
      </c>
      <c r="P107" s="1" t="b">
        <f>TRUE</f>
        <v>1</v>
      </c>
      <c r="Q107" s="1" t="b">
        <f>TRUE</f>
        <v>1</v>
      </c>
      <c r="R107" s="1" t="s">
        <v>9</v>
      </c>
      <c r="S107" s="1">
        <f ca="1">IF(DB_TBL_DATA_FIELDS[[#This Row],[RANGE_VALIDATION_FLAG]]="Text",LEN(DB_TBL_DATA_FIELDS[[#This Row],[FIELD_VALUE_RAW]]),IFERROR(VALUE(DB_TBL_DATA_FIELDS[[#This Row],[FIELD_VALUE_RAW]]),-1))</f>
        <v>0</v>
      </c>
      <c r="T107" s="1">
        <v>0</v>
      </c>
      <c r="U107" s="1">
        <v>100</v>
      </c>
      <c r="V107" s="1" t="b">
        <f ca="1">IF(NOT(DB_TBL_DATA_FIELDS[[#This Row],[RANGE_VALIDATION_ON_FLAG]]),TRUE,
AND(DB_TBL_DATA_FIELDS[[#This Row],[RANGE_VALUE_LEN]]&gt;=DB_TBL_DATA_FIELDS[[#This Row],[RANGE_VALIDATION_MIN]],DB_TBL_DATA_FIELDS[[#This Row],[RANGE_VALUE_LEN]]&lt;=DB_TBL_DATA_FIELDS[[#This Row],[RANGE_VALIDATION_MAX]]))</f>
        <v>1</v>
      </c>
      <c r="W107" s="1">
        <v>1</v>
      </c>
      <c r="X107" s="1" t="str">
        <f ca="1">IF(DB_TBL_DATA_FIELDS[[#This Row],[PCT_CALC_SHOW_STATUS_CODE]]=1,
DB_TBL_DATA_FIELDS[[#This Row],[FIELD_STATUS_CODE]],
IF(AND(DB_TBL_DATA_FIELDS[[#This Row],[PCT_CALC_SHOW_STATUS_CODE]]=2,DB_TBL_DATA_FIELDS[[#This Row],[FIELD_STATUS_CODE]]=0),
DB_TBL_DATA_FIELDS[[#This Row],[FIELD_STATUS_CODE]],
"")
)</f>
        <v/>
      </c>
    </row>
    <row r="108" spans="1:26" x14ac:dyDescent="0.2">
      <c r="A108" s="1" t="s">
        <v>2209</v>
      </c>
      <c r="B108" s="16" t="str">
        <f ca="1">IFERROR(IF(FIND(DATA_EFORM_TYPE_CODE,DB_TBL_DATA_FIELDS[[#This Row],[APPLICABLE_EFORM_LIST]])&gt;0,DATA_EFORM_TYPE_CODE,""),"")</f>
        <v/>
      </c>
      <c r="C108" s="1" t="s">
        <v>2561</v>
      </c>
      <c r="D108" s="1" t="b">
        <v>1</v>
      </c>
      <c r="E108" s="84" t="b">
        <f ca="1">IF(AND(DATA_OTHER_NON_FHLB_GRANT_FLAG=TRUE,$H107=TRUE),TRUE,FALSE)</f>
        <v>0</v>
      </c>
      <c r="F108" s="2" t="s">
        <v>2593</v>
      </c>
      <c r="G108" s="2" t="str">
        <f ca="1">IFERROR(VLOOKUP(DB_TBL_DATA_FIELDS[[#This Row],[FIELD_ID]],INDIRECT(DB_TBL_DATA_FIELDS[[#This Row],[SHEET_REF_CALC]]&amp;"!A:B"),2,FALSE),"")</f>
        <v/>
      </c>
      <c r="H108" s="21" t="str">
        <f ca="1">IF(DB_TBL_DATA_FIELDS[[#This Row],[FIELD_EMPTY_FLAG]],"",IF(NOT(DB_TBL_DATA_FIELDS[[#This Row],[FIELD_REQ_FLAG]]),FALSE,TRUE))</f>
        <v/>
      </c>
      <c r="I108" s="2" t="b">
        <f ca="1">(DB_TBL_DATA_FIELDS[[#This Row],[FIELD_VALUE_RAW]]="")</f>
        <v>1</v>
      </c>
      <c r="J108" s="2" t="s">
        <v>39</v>
      </c>
      <c r="K108" s="1" t="b">
        <f ca="1">AND(IF(DB_TBL_DATA_FIELDS[[#This Row],[FIELD_VALID_CUSTOM_LOGIC]]="",TRUE,DB_TBL_DATA_FIELDS[[#This Row],[FIELD_VALID_CUSTOM_LOGIC]]),DB_TBL_DATA_FIELDS[[#This Row],[RANGE_VALIDATION_PASSED_FLAG]])</f>
        <v>0</v>
      </c>
      <c r="L108"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8" s="1" t="str">
        <f ca="1">IF(DB_TBL_DATA_FIELDS[[#This Row],[SHEET_REF_CALC]]="","",IF(DB_TBL_DATA_FIELDS[[#This Row],[FIELD_EMPTY_FLAG]],IF(NOT(DB_TBL_DATA_FIELDS[[#This Row],[FIELD_REQ_FLAG]]),-1,1),IF(NOT(DB_TBL_DATA_FIELDS[[#This Row],[FIELD_VALID_FLAG]]),0,2)))</f>
        <v/>
      </c>
      <c r="N108" s="1" t="str">
        <f ca="1">IFERROR(VLOOKUP(DB_TBL_DATA_FIELDS[[#This Row],[FIELD_STATUS_CODE]],DB_TBL_CONFIG_FIELDSTATUSCODES[#All],3,FALSE),"")</f>
        <v/>
      </c>
      <c r="O108" s="1" t="str">
        <f ca="1">IFERROR(VLOOKUP(DB_TBL_DATA_FIELDS[[#This Row],[FIELD_STATUS_CODE]],DB_TBL_CONFIG_FIELDSTATUSCODES[#All],4,FALSE),"")</f>
        <v/>
      </c>
      <c r="P108" s="1" t="b">
        <f>TRUE</f>
        <v>1</v>
      </c>
      <c r="Q108" s="1" t="b">
        <f>TRUE</f>
        <v>1</v>
      </c>
      <c r="R108" s="1" t="s">
        <v>39</v>
      </c>
      <c r="S108" s="1">
        <f ca="1">IF(DB_TBL_DATA_FIELDS[[#This Row],[RANGE_VALIDATION_FLAG]]="Text",LEN(DB_TBL_DATA_FIELDS[[#This Row],[FIELD_VALUE_RAW]]),IFERROR(VALUE(DB_TBL_DATA_FIELDS[[#This Row],[FIELD_VALUE_RAW]]),-1))</f>
        <v>-1</v>
      </c>
      <c r="T108" s="1">
        <v>0</v>
      </c>
      <c r="U108" s="1">
        <v>999999999</v>
      </c>
      <c r="V108" s="1" t="b">
        <f ca="1">IF(NOT(DB_TBL_DATA_FIELDS[[#This Row],[RANGE_VALIDATION_ON_FLAG]]),TRUE,
AND(DB_TBL_DATA_FIELDS[[#This Row],[RANGE_VALUE_LEN]]&gt;=DB_TBL_DATA_FIELDS[[#This Row],[RANGE_VALIDATION_MIN]],DB_TBL_DATA_FIELDS[[#This Row],[RANGE_VALUE_LEN]]&lt;=DB_TBL_DATA_FIELDS[[#This Row],[RANGE_VALIDATION_MAX]]))</f>
        <v>0</v>
      </c>
      <c r="W108" s="1">
        <v>1</v>
      </c>
      <c r="X108" s="1" t="str">
        <f ca="1">IF(DB_TBL_DATA_FIELDS[[#This Row],[PCT_CALC_SHOW_STATUS_CODE]]=1,
DB_TBL_DATA_FIELDS[[#This Row],[FIELD_STATUS_CODE]],
IF(AND(DB_TBL_DATA_FIELDS[[#This Row],[PCT_CALC_SHOW_STATUS_CODE]]=2,DB_TBL_DATA_FIELDS[[#This Row],[FIELD_STATUS_CODE]]=0),
DB_TBL_DATA_FIELDS[[#This Row],[FIELD_STATUS_CODE]],
"")
)</f>
        <v/>
      </c>
    </row>
    <row r="109" spans="1:26" x14ac:dyDescent="0.2">
      <c r="A109" s="1" t="s">
        <v>2209</v>
      </c>
      <c r="B109" s="16" t="str">
        <f ca="1">IFERROR(IF(FIND(DATA_EFORM_TYPE_CODE,DB_TBL_DATA_FIELDS[[#This Row],[APPLICABLE_EFORM_LIST]])&gt;0,DATA_EFORM_TYPE_CODE,""),"")</f>
        <v/>
      </c>
      <c r="C109" s="1" t="s">
        <v>2566</v>
      </c>
      <c r="D109" s="1" t="b">
        <v>0</v>
      </c>
      <c r="E109" s="18" t="b">
        <v>1</v>
      </c>
      <c r="F109" s="2" t="s">
        <v>2581</v>
      </c>
      <c r="G109" s="2" t="str">
        <f ca="1">IFERROR(VLOOKUP(DB_TBL_DATA_FIELDS[[#This Row],[FIELD_ID]],INDIRECT(DB_TBL_DATA_FIELDS[[#This Row],[SHEET_REF_CALC]]&amp;"!A:B"),2,FALSE),"")</f>
        <v/>
      </c>
      <c r="I109" s="2" t="b">
        <f ca="1">(DB_TBL_DATA_FIELDS[[#This Row],[FIELD_VALUE_RAW]]="")</f>
        <v>1</v>
      </c>
      <c r="J109" s="2" t="s">
        <v>140</v>
      </c>
      <c r="K109" s="1" t="b">
        <f>AND(IF(DB_TBL_DATA_FIELDS[[#This Row],[FIELD_VALID_CUSTOM_LOGIC]]="",TRUE,DB_TBL_DATA_FIELDS[[#This Row],[FIELD_VALID_CUSTOM_LOGIC]]),DB_TBL_DATA_FIELDS[[#This Row],[RANGE_VALIDATION_PASSED_FLAG]])</f>
        <v>1</v>
      </c>
      <c r="L109"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9" s="1" t="str">
        <f ca="1">IF(DB_TBL_DATA_FIELDS[[#This Row],[SHEET_REF_CALC]]="","",IF(DB_TBL_DATA_FIELDS[[#This Row],[FIELD_EMPTY_FLAG]],IF(NOT(DB_TBL_DATA_FIELDS[[#This Row],[FIELD_REQ_FLAG]]),-1,1),IF(NOT(DB_TBL_DATA_FIELDS[[#This Row],[FIELD_VALID_FLAG]]),0,2)))</f>
        <v/>
      </c>
      <c r="N109" s="1" t="str">
        <f ca="1">IFERROR(VLOOKUP(DB_TBL_DATA_FIELDS[[#This Row],[FIELD_STATUS_CODE]],DB_TBL_CONFIG_FIELDSTATUSCODES[#All],3,FALSE),"")</f>
        <v/>
      </c>
      <c r="O109" s="1" t="str">
        <f ca="1">IFERROR(VLOOKUP(DB_TBL_DATA_FIELDS[[#This Row],[FIELD_STATUS_CODE]],DB_TBL_CONFIG_FIELDSTATUSCODES[#All],4,FALSE),"")</f>
        <v/>
      </c>
      <c r="P109" s="1" t="b">
        <f>TRUE</f>
        <v>1</v>
      </c>
      <c r="Q109" s="1" t="b">
        <v>0</v>
      </c>
      <c r="S109" s="1">
        <f ca="1">IF(DB_TBL_DATA_FIELDS[[#This Row],[RANGE_VALIDATION_FLAG]]="Text",LEN(DB_TBL_DATA_FIELDS[[#This Row],[FIELD_VALUE_RAW]]),IFERROR(VALUE(DB_TBL_DATA_FIELDS[[#This Row],[FIELD_VALUE_RAW]]),-1))</f>
        <v>-1</v>
      </c>
      <c r="V109" s="1" t="b">
        <f>IF(NOT(DB_TBL_DATA_FIELDS[[#This Row],[RANGE_VALIDATION_ON_FLAG]]),TRUE,
AND(DB_TBL_DATA_FIELDS[[#This Row],[RANGE_VALUE_LEN]]&gt;=DB_TBL_DATA_FIELDS[[#This Row],[RANGE_VALIDATION_MIN]],DB_TBL_DATA_FIELDS[[#This Row],[RANGE_VALUE_LEN]]&lt;=DB_TBL_DATA_FIELDS[[#This Row],[RANGE_VALIDATION_MAX]]))</f>
        <v>1</v>
      </c>
      <c r="W109" s="1">
        <v>1</v>
      </c>
      <c r="X109" s="1" t="str">
        <f ca="1">IF(DB_TBL_DATA_FIELDS[[#This Row],[PCT_CALC_SHOW_STATUS_CODE]]=1,
DB_TBL_DATA_FIELDS[[#This Row],[FIELD_STATUS_CODE]],
IF(AND(DB_TBL_DATA_FIELDS[[#This Row],[PCT_CALC_SHOW_STATUS_CODE]]=2,DB_TBL_DATA_FIELDS[[#This Row],[FIELD_STATUS_CODE]]=0),
DB_TBL_DATA_FIELDS[[#This Row],[FIELD_STATUS_CODE]],
"")
)</f>
        <v/>
      </c>
    </row>
    <row r="110" spans="1:26" x14ac:dyDescent="0.2">
      <c r="A110" s="1" t="s">
        <v>2209</v>
      </c>
      <c r="B110" s="16" t="str">
        <f ca="1">IFERROR(IF(FIND(DATA_EFORM_TYPE_CODE,DB_TBL_DATA_FIELDS[[#This Row],[APPLICABLE_EFORM_LIST]])&gt;0,DATA_EFORM_TYPE_CODE,""),"")</f>
        <v/>
      </c>
      <c r="C110" s="1" t="s">
        <v>2563</v>
      </c>
      <c r="D110" s="1" t="b">
        <v>1</v>
      </c>
      <c r="E110" s="84" t="b">
        <f ca="1">IF(DATA_OTHER_FHLB_GRANT_FLAG=TRUE,TRUE,FALSE)</f>
        <v>0</v>
      </c>
      <c r="F110" s="2" t="s">
        <v>2582</v>
      </c>
      <c r="G110" s="2" t="str">
        <f ca="1">IFERROR(VLOOKUP(DB_TBL_DATA_FIELDS[[#This Row],[FIELD_ID]],INDIRECT(DB_TBL_DATA_FIELDS[[#This Row],[SHEET_REF_CALC]]&amp;"!A:B"),2,FALSE),"")</f>
        <v/>
      </c>
      <c r="H110" s="21" t="str">
        <f ca="1">IF(NOT(DB_TBL_DATA_FIELDS[[#This Row],[FIELD_EMPTY_FLAG]]),DATA_OTHER_FHLB_GRANT_FLAG=TRUE,"")</f>
        <v/>
      </c>
      <c r="I110" s="2" t="b">
        <f ca="1">(DB_TBL_DATA_FIELDS[[#This Row],[FIELD_VALUE_RAW]]="")</f>
        <v>1</v>
      </c>
      <c r="J110" s="2" t="s">
        <v>9</v>
      </c>
      <c r="K110" s="1" t="b">
        <f ca="1">AND(IF(DB_TBL_DATA_FIELDS[[#This Row],[FIELD_VALID_CUSTOM_LOGIC]]="",TRUE,DB_TBL_DATA_FIELDS[[#This Row],[FIELD_VALID_CUSTOM_LOGIC]]),DB_TBL_DATA_FIELDS[[#This Row],[RANGE_VALIDATION_PASSED_FLAG]])</f>
        <v>1</v>
      </c>
      <c r="L110"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10" s="1" t="str">
        <f ca="1">IF(DB_TBL_DATA_FIELDS[[#This Row],[SHEET_REF_CALC]]="","",IF(DB_TBL_DATA_FIELDS[[#This Row],[FIELD_EMPTY_FLAG]],IF(NOT(DB_TBL_DATA_FIELDS[[#This Row],[FIELD_REQ_FLAG]]),-1,1),IF(NOT(DB_TBL_DATA_FIELDS[[#This Row],[FIELD_VALID_FLAG]]),0,2)))</f>
        <v/>
      </c>
      <c r="N110" s="1" t="str">
        <f ca="1">IFERROR(VLOOKUP(DB_TBL_DATA_FIELDS[[#This Row],[FIELD_STATUS_CODE]],DB_TBL_CONFIG_FIELDSTATUSCODES[#All],3,FALSE),"")</f>
        <v/>
      </c>
      <c r="O110" s="1" t="str">
        <f ca="1">IFERROR(VLOOKUP(DB_TBL_DATA_FIELDS[[#This Row],[FIELD_STATUS_CODE]],DB_TBL_CONFIG_FIELDSTATUSCODES[#All],4,FALSE),"")</f>
        <v/>
      </c>
      <c r="P110" s="1" t="b">
        <f>TRUE</f>
        <v>1</v>
      </c>
      <c r="Q110" s="1" t="b">
        <f>TRUE</f>
        <v>1</v>
      </c>
      <c r="R110" s="1" t="s">
        <v>9</v>
      </c>
      <c r="S110" s="1">
        <f ca="1">IF(DB_TBL_DATA_FIELDS[[#This Row],[RANGE_VALIDATION_FLAG]]="Text",LEN(DB_TBL_DATA_FIELDS[[#This Row],[FIELD_VALUE_RAW]]),IFERROR(VALUE(DB_TBL_DATA_FIELDS[[#This Row],[FIELD_VALUE_RAW]]),-1))</f>
        <v>0</v>
      </c>
      <c r="T110" s="1">
        <v>0</v>
      </c>
      <c r="U110" s="1">
        <v>100</v>
      </c>
      <c r="V110" s="1" t="b">
        <f ca="1">IF(NOT(DB_TBL_DATA_FIELDS[[#This Row],[RANGE_VALIDATION_ON_FLAG]]),TRUE,
AND(DB_TBL_DATA_FIELDS[[#This Row],[RANGE_VALUE_LEN]]&gt;=DB_TBL_DATA_FIELDS[[#This Row],[RANGE_VALIDATION_MIN]],DB_TBL_DATA_FIELDS[[#This Row],[RANGE_VALUE_LEN]]&lt;=DB_TBL_DATA_FIELDS[[#This Row],[RANGE_VALIDATION_MAX]]))</f>
        <v>1</v>
      </c>
      <c r="W110" s="1">
        <v>1</v>
      </c>
      <c r="X110" s="1" t="str">
        <f ca="1">IF(DB_TBL_DATA_FIELDS[[#This Row],[PCT_CALC_SHOW_STATUS_CODE]]=1,
DB_TBL_DATA_FIELDS[[#This Row],[FIELD_STATUS_CODE]],
IF(AND(DB_TBL_DATA_FIELDS[[#This Row],[PCT_CALC_SHOW_STATUS_CODE]]=2,DB_TBL_DATA_FIELDS[[#This Row],[FIELD_STATUS_CODE]]=0),
DB_TBL_DATA_FIELDS[[#This Row],[FIELD_STATUS_CODE]],
"")
)</f>
        <v/>
      </c>
    </row>
    <row r="111" spans="1:26" x14ac:dyDescent="0.2">
      <c r="A111" s="1" t="s">
        <v>2209</v>
      </c>
      <c r="B111" s="16" t="str">
        <f ca="1">IFERROR(IF(FIND(DATA_EFORM_TYPE_CODE,DB_TBL_DATA_FIELDS[[#This Row],[APPLICABLE_EFORM_LIST]])&gt;0,DATA_EFORM_TYPE_CODE,""),"")</f>
        <v/>
      </c>
      <c r="C111" s="1" t="s">
        <v>2562</v>
      </c>
      <c r="D111" s="1" t="b">
        <v>1</v>
      </c>
      <c r="E111" s="84" t="b">
        <f ca="1">IF(DATA_OTHER_FHLB_GRANT_FLAG=TRUE,TRUE,FALSE)</f>
        <v>0</v>
      </c>
      <c r="F111" s="2" t="s">
        <v>2583</v>
      </c>
      <c r="G111" s="2" t="str">
        <f ca="1">IFERROR(VLOOKUP(DB_TBL_DATA_FIELDS[[#This Row],[FIELD_ID]],INDIRECT(DB_TBL_DATA_FIELDS[[#This Row],[SHEET_REF_CALC]]&amp;"!A:B"),2,FALSE),"")</f>
        <v/>
      </c>
      <c r="H111" s="21" t="str">
        <f ca="1">IF(NOT(DB_TBL_DATA_FIELDS[[#This Row],[FIELD_EMPTY_FLAG]]),DATA_OTHER_FHLB_GRANT_FLAG=TRUE,"")</f>
        <v/>
      </c>
      <c r="I111" s="2" t="b">
        <f ca="1">(DB_TBL_DATA_FIELDS[[#This Row],[FIELD_VALUE_RAW]]="")</f>
        <v>1</v>
      </c>
      <c r="J111" s="2" t="s">
        <v>39</v>
      </c>
      <c r="K111" s="1" t="b">
        <f ca="1">AND(IF(DB_TBL_DATA_FIELDS[[#This Row],[FIELD_VALID_CUSTOM_LOGIC]]="",TRUE,DB_TBL_DATA_FIELDS[[#This Row],[FIELD_VALID_CUSTOM_LOGIC]]),DB_TBL_DATA_FIELDS[[#This Row],[RANGE_VALIDATION_PASSED_FLAG]])</f>
        <v>0</v>
      </c>
      <c r="L111" s="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11" s="1" t="str">
        <f ca="1">IF(DB_TBL_DATA_FIELDS[[#This Row],[SHEET_REF_CALC]]="","",IF(DB_TBL_DATA_FIELDS[[#This Row],[FIELD_EMPTY_FLAG]],IF(NOT(DB_TBL_DATA_FIELDS[[#This Row],[FIELD_REQ_FLAG]]),-1,1),IF(NOT(DB_TBL_DATA_FIELDS[[#This Row],[FIELD_VALID_FLAG]]),0,2)))</f>
        <v/>
      </c>
      <c r="N111" s="1" t="str">
        <f ca="1">IFERROR(VLOOKUP(DB_TBL_DATA_FIELDS[[#This Row],[FIELD_STATUS_CODE]],DB_TBL_CONFIG_FIELDSTATUSCODES[#All],3,FALSE),"")</f>
        <v/>
      </c>
      <c r="O111" s="1" t="str">
        <f ca="1">IFERROR(VLOOKUP(DB_TBL_DATA_FIELDS[[#This Row],[FIELD_STATUS_CODE]],DB_TBL_CONFIG_FIELDSTATUSCODES[#All],4,FALSE),"")</f>
        <v/>
      </c>
      <c r="P111" s="1" t="b">
        <f>TRUE</f>
        <v>1</v>
      </c>
      <c r="Q111" s="1" t="b">
        <f>TRUE</f>
        <v>1</v>
      </c>
      <c r="R111" s="1" t="s">
        <v>39</v>
      </c>
      <c r="S111" s="1">
        <f ca="1">IF(DB_TBL_DATA_FIELDS[[#This Row],[RANGE_VALIDATION_FLAG]]="Text",LEN(DB_TBL_DATA_FIELDS[[#This Row],[FIELD_VALUE_RAW]]),IFERROR(VALUE(DB_TBL_DATA_FIELDS[[#This Row],[FIELD_VALUE_RAW]]),-1))</f>
        <v>-1</v>
      </c>
      <c r="T111" s="1">
        <v>0</v>
      </c>
      <c r="U111" s="1">
        <v>999999999</v>
      </c>
      <c r="V111" s="1" t="b">
        <f ca="1">IF(NOT(DB_TBL_DATA_FIELDS[[#This Row],[RANGE_VALIDATION_ON_FLAG]]),TRUE,
AND(DB_TBL_DATA_FIELDS[[#This Row],[RANGE_VALUE_LEN]]&gt;=DB_TBL_DATA_FIELDS[[#This Row],[RANGE_VALIDATION_MIN]],DB_TBL_DATA_FIELDS[[#This Row],[RANGE_VALUE_LEN]]&lt;=DB_TBL_DATA_FIELDS[[#This Row],[RANGE_VALIDATION_MAX]]))</f>
        <v>0</v>
      </c>
      <c r="W111" s="1">
        <v>1</v>
      </c>
      <c r="X111" s="1" t="str">
        <f ca="1">IF(DB_TBL_DATA_FIELDS[[#This Row],[PCT_CALC_SHOW_STATUS_CODE]]=1,
DB_TBL_DATA_FIELDS[[#This Row],[FIELD_STATUS_CODE]],
IF(AND(DB_TBL_DATA_FIELDS[[#This Row],[PCT_CALC_SHOW_STATUS_CODE]]=2,DB_TBL_DATA_FIELDS[[#This Row],[FIELD_STATUS_CODE]]=0),
DB_TBL_DATA_FIELDS[[#This Row],[FIELD_STATUS_CODE]],
"")
)</f>
        <v/>
      </c>
    </row>
  </sheetData>
  <sheetProtection algorithmName="SHA-512" hashValue="/dm/T5ZBpsnhYA+ZQP7r78F8GeES8fiB9ER+QE+BXPHqE52D9ZvN7xAV34FRHgNTQKXkBkpBkCqu1hemm5BQLQ==" saltValue="SZ4r3wuAoGLLmQ3aBAe9KQ==" spinCount="100000" sheet="1" objects="1" scenarios="1"/>
  <conditionalFormatting sqref="D3:D40 D42:D111">
    <cfRule type="cellIs" dxfId="201" priority="2" operator="equal">
      <formula>TRUE</formula>
    </cfRule>
  </conditionalFormatting>
  <conditionalFormatting sqref="D41">
    <cfRule type="cellIs" dxfId="200" priority="1" operator="equal">
      <formula>TRUE</formula>
    </cfRule>
  </conditionalFormatting>
  <pageMargins left="0.7" right="0.7" top="0.75" bottom="0.75" header="0.3" footer="0.3"/>
  <pageSetup orientation="portrait" r:id="rId1"/>
  <ignoredErrors>
    <ignoredError sqref="T11:U11 P3 T19 P19:P20 P14 T14 T12 P11:P12" calculatedColumn="1"/>
  </ignoredErrors>
  <legacy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59999389629810485"/>
  </sheetPr>
  <dimension ref="A1:AE3224"/>
  <sheetViews>
    <sheetView workbookViewId="0">
      <selection activeCell="I2" sqref="I2:L2"/>
    </sheetView>
  </sheetViews>
  <sheetFormatPr defaultRowHeight="12.75" x14ac:dyDescent="0.2"/>
  <cols>
    <col min="1" max="1" width="16" style="1" customWidth="1"/>
    <col min="2" max="2" width="20.42578125" style="1" bestFit="1" customWidth="1"/>
    <col min="3" max="3" width="9.140625" style="1"/>
    <col min="4" max="4" width="33.28515625" style="1" bestFit="1" customWidth="1"/>
    <col min="5" max="5" width="33.28515625" style="1" customWidth="1"/>
    <col min="6" max="6" width="9.140625" style="1"/>
    <col min="7" max="7" width="14.85546875" style="1" customWidth="1"/>
    <col min="8" max="8" width="15.7109375" style="1" customWidth="1"/>
    <col min="9" max="9" width="8.140625" style="1" customWidth="1"/>
    <col min="10" max="10" width="17.28515625" style="1" customWidth="1"/>
    <col min="11" max="11" width="16.85546875" style="1" customWidth="1"/>
    <col min="12" max="12" width="9.140625" style="1"/>
    <col min="13" max="13" width="15" style="1" customWidth="1"/>
    <col min="14" max="14" width="32.28515625" style="1" bestFit="1" customWidth="1"/>
    <col min="15" max="15" width="14.5703125" style="1" bestFit="1" customWidth="1"/>
    <col min="16" max="16" width="9.140625" style="1"/>
    <col min="17" max="17" width="33.28515625" style="1" bestFit="1" customWidth="1"/>
    <col min="18" max="19" width="15.85546875" style="1" customWidth="1"/>
    <col min="20" max="20" width="9.140625" style="1"/>
    <col min="21" max="21" width="45" style="1" bestFit="1" customWidth="1"/>
    <col min="22" max="22" width="9.140625" style="1"/>
    <col min="23" max="23" width="33.85546875" style="1" bestFit="1" customWidth="1"/>
    <col min="24" max="24" width="9.140625" style="1"/>
    <col min="25" max="25" width="33.85546875" style="1" bestFit="1" customWidth="1"/>
    <col min="26" max="26" width="9.140625" style="1"/>
    <col min="27" max="27" width="33.85546875" style="1" bestFit="1" customWidth="1"/>
    <col min="28" max="28" width="9.140625" style="1"/>
    <col min="29" max="29" width="44" style="1" bestFit="1" customWidth="1"/>
    <col min="30" max="30" width="9.140625" style="1"/>
    <col min="31" max="31" width="45" style="1" customWidth="1"/>
    <col min="32" max="16384" width="9.140625" style="1"/>
  </cols>
  <sheetData>
    <row r="1" spans="1:31" x14ac:dyDescent="0.2">
      <c r="A1" s="3" t="s">
        <v>2206</v>
      </c>
      <c r="D1" s="3" t="s">
        <v>106</v>
      </c>
      <c r="E1" s="3"/>
      <c r="G1" s="3" t="s">
        <v>185</v>
      </c>
      <c r="J1" s="3" t="s">
        <v>187</v>
      </c>
      <c r="M1" s="3" t="s">
        <v>2210</v>
      </c>
      <c r="Q1" s="3" t="s">
        <v>195</v>
      </c>
      <c r="R1" s="1" t="s">
        <v>2152</v>
      </c>
      <c r="U1" s="3" t="s">
        <v>2153</v>
      </c>
      <c r="W1" s="3" t="s">
        <v>2397</v>
      </c>
      <c r="Y1" s="3" t="s">
        <v>2402</v>
      </c>
      <c r="AA1" s="3" t="s">
        <v>2575</v>
      </c>
      <c r="AC1" s="3" t="s">
        <v>2611</v>
      </c>
      <c r="AE1" s="3" t="s">
        <v>2752</v>
      </c>
    </row>
    <row r="2" spans="1:31" ht="13.5" thickBot="1" x14ac:dyDescent="0.25">
      <c r="A2" s="1" t="s">
        <v>33</v>
      </c>
      <c r="B2" s="1" t="s">
        <v>34</v>
      </c>
      <c r="D2" s="13" t="s">
        <v>105</v>
      </c>
      <c r="E2" s="13" t="s">
        <v>2344</v>
      </c>
      <c r="G2" s="29" t="s">
        <v>33</v>
      </c>
      <c r="H2" s="29" t="s">
        <v>34</v>
      </c>
      <c r="J2" s="29" t="s">
        <v>34</v>
      </c>
      <c r="K2" s="29" t="s">
        <v>33</v>
      </c>
      <c r="M2" s="29" t="s">
        <v>33</v>
      </c>
      <c r="N2" s="29" t="s">
        <v>34</v>
      </c>
      <c r="O2" s="29" t="s">
        <v>188</v>
      </c>
      <c r="Q2" s="29" t="s">
        <v>196</v>
      </c>
      <c r="R2" s="13" t="s">
        <v>105</v>
      </c>
      <c r="S2" s="155" t="s">
        <v>94</v>
      </c>
      <c r="U2" s="13" t="s">
        <v>2154</v>
      </c>
      <c r="W2" s="29" t="s">
        <v>34</v>
      </c>
      <c r="Y2" s="29" t="s">
        <v>34</v>
      </c>
      <c r="AA2" s="29" t="s">
        <v>34</v>
      </c>
      <c r="AC2" s="29" t="s">
        <v>105</v>
      </c>
      <c r="AE2" s="29" t="s">
        <v>2617</v>
      </c>
    </row>
    <row r="3" spans="1:31" ht="15" customHeight="1" thickTop="1" x14ac:dyDescent="0.25">
      <c r="A3" s="1" t="s">
        <v>2207</v>
      </c>
      <c r="B3" s="1" t="s">
        <v>2891</v>
      </c>
      <c r="D3" s="14" t="s">
        <v>76</v>
      </c>
      <c r="E3" s="14" t="s">
        <v>2348</v>
      </c>
      <c r="G3" s="30">
        <v>1</v>
      </c>
      <c r="H3" s="30" t="s">
        <v>183</v>
      </c>
      <c r="J3" s="30" t="s">
        <v>183</v>
      </c>
      <c r="K3" s="30">
        <v>1</v>
      </c>
      <c r="M3" s="30">
        <v>0</v>
      </c>
      <c r="N3" s="30" t="s">
        <v>2211</v>
      </c>
      <c r="O3" s="33" t="s">
        <v>2213</v>
      </c>
      <c r="Q3" s="30" t="s">
        <v>197</v>
      </c>
      <c r="R3" s="71" t="s">
        <v>104</v>
      </c>
      <c r="S3" s="75" t="str">
        <f>UPPER(CONCATENATE(TRIM(R3),"_",TRIM(Q3)))</f>
        <v>AL_AUTAUGA</v>
      </c>
      <c r="U3" s="75" t="s">
        <v>2152</v>
      </c>
      <c r="W3" s="30" t="s">
        <v>2398</v>
      </c>
      <c r="Y3" s="30" t="s">
        <v>2403</v>
      </c>
      <c r="AA3" s="30" t="s">
        <v>2928</v>
      </c>
      <c r="AC3" s="30" t="s">
        <v>76</v>
      </c>
      <c r="AE3" s="30" t="s">
        <v>2626</v>
      </c>
    </row>
    <row r="4" spans="1:31" ht="15" customHeight="1" x14ac:dyDescent="0.25">
      <c r="A4" s="1" t="s">
        <v>2209</v>
      </c>
      <c r="B4" s="1" t="s">
        <v>2884</v>
      </c>
      <c r="D4" s="15" t="s">
        <v>55</v>
      </c>
      <c r="E4" s="15" t="s">
        <v>2348</v>
      </c>
      <c r="G4" s="31">
        <v>0</v>
      </c>
      <c r="H4" s="31" t="s">
        <v>184</v>
      </c>
      <c r="J4" s="31" t="s">
        <v>184</v>
      </c>
      <c r="K4" s="31">
        <v>0</v>
      </c>
      <c r="M4" s="31">
        <v>1</v>
      </c>
      <c r="N4" s="31" t="s">
        <v>2212</v>
      </c>
      <c r="O4" s="34" t="s">
        <v>2214</v>
      </c>
      <c r="Q4" s="31" t="s">
        <v>198</v>
      </c>
      <c r="R4" s="72" t="s">
        <v>104</v>
      </c>
      <c r="S4" s="75" t="str">
        <f t="shared" ref="S4:S67" si="0">UPPER(CONCATENATE(TRIM(R4),"_",TRIM(Q4)))</f>
        <v>AL_BALDWIN</v>
      </c>
      <c r="W4" s="31" t="s">
        <v>2399</v>
      </c>
      <c r="Y4" s="31" t="s">
        <v>2404</v>
      </c>
      <c r="AA4" s="31" t="s">
        <v>2929</v>
      </c>
      <c r="AC4" s="31" t="s">
        <v>55</v>
      </c>
      <c r="AE4" s="31" t="s">
        <v>2618</v>
      </c>
    </row>
    <row r="5" spans="1:31" ht="15" customHeight="1" x14ac:dyDescent="0.25">
      <c r="A5" s="1" t="s">
        <v>2208</v>
      </c>
      <c r="B5" s="1" t="s">
        <v>2892</v>
      </c>
      <c r="D5" s="14" t="s">
        <v>69</v>
      </c>
      <c r="E5" s="14" t="s">
        <v>2348</v>
      </c>
      <c r="J5" s="30" t="s">
        <v>141</v>
      </c>
      <c r="K5" s="30">
        <v>2</v>
      </c>
      <c r="M5" s="30">
        <v>2</v>
      </c>
      <c r="N5" s="30" t="s">
        <v>2947</v>
      </c>
      <c r="O5" s="33" t="s">
        <v>2947</v>
      </c>
      <c r="Q5" s="30" t="s">
        <v>199</v>
      </c>
      <c r="R5" s="71" t="s">
        <v>104</v>
      </c>
      <c r="S5" s="75" t="str">
        <f t="shared" si="0"/>
        <v>AL_BARBOUR</v>
      </c>
      <c r="W5" s="30" t="s">
        <v>2400</v>
      </c>
      <c r="Y5" s="30" t="s">
        <v>2405</v>
      </c>
      <c r="AC5" s="30" t="s">
        <v>69</v>
      </c>
      <c r="AE5" s="30" t="s">
        <v>2622</v>
      </c>
    </row>
    <row r="6" spans="1:31" ht="15" customHeight="1" x14ac:dyDescent="0.25">
      <c r="D6" s="15" t="s">
        <v>143</v>
      </c>
      <c r="E6" s="15" t="s">
        <v>186</v>
      </c>
      <c r="M6" s="31">
        <v>3</v>
      </c>
      <c r="N6" s="31" t="s">
        <v>190</v>
      </c>
      <c r="O6" s="34" t="s">
        <v>190</v>
      </c>
      <c r="Q6" s="31" t="s">
        <v>200</v>
      </c>
      <c r="R6" s="72" t="s">
        <v>104</v>
      </c>
      <c r="S6" s="75" t="str">
        <f t="shared" si="0"/>
        <v>AL_BIBB</v>
      </c>
      <c r="Y6" s="31" t="s">
        <v>2406</v>
      </c>
      <c r="AC6" s="31" t="s">
        <v>143</v>
      </c>
      <c r="AE6" s="31" t="s">
        <v>2619</v>
      </c>
    </row>
    <row r="7" spans="1:31" ht="15" customHeight="1" x14ac:dyDescent="0.2">
      <c r="O7" s="18"/>
      <c r="Q7" s="30" t="s">
        <v>201</v>
      </c>
      <c r="R7" s="71" t="s">
        <v>104</v>
      </c>
      <c r="S7" s="75" t="str">
        <f t="shared" si="0"/>
        <v>AL_BLOUNT</v>
      </c>
      <c r="Y7" s="30" t="s">
        <v>2407</v>
      </c>
      <c r="AC7" s="30" t="s">
        <v>104</v>
      </c>
      <c r="AE7" s="30" t="s">
        <v>2621</v>
      </c>
    </row>
    <row r="8" spans="1:31" ht="15" customHeight="1" x14ac:dyDescent="0.2">
      <c r="Q8" s="31" t="s">
        <v>202</v>
      </c>
      <c r="R8" s="72" t="s">
        <v>104</v>
      </c>
      <c r="S8" s="75" t="str">
        <f t="shared" si="0"/>
        <v>AL_BULLOCK</v>
      </c>
      <c r="AC8" s="31" t="s">
        <v>103</v>
      </c>
      <c r="AE8" s="31" t="s">
        <v>2620</v>
      </c>
    </row>
    <row r="9" spans="1:31" x14ac:dyDescent="0.2">
      <c r="Q9" s="30" t="s">
        <v>203</v>
      </c>
      <c r="R9" s="71" t="s">
        <v>104</v>
      </c>
      <c r="S9" s="75" t="str">
        <f t="shared" si="0"/>
        <v>AL_BUTLER</v>
      </c>
      <c r="AC9" s="30" t="s">
        <v>102</v>
      </c>
      <c r="AE9" s="30" t="s">
        <v>2623</v>
      </c>
    </row>
    <row r="10" spans="1:31" x14ac:dyDescent="0.2">
      <c r="Q10" s="31" t="s">
        <v>204</v>
      </c>
      <c r="R10" s="72" t="s">
        <v>104</v>
      </c>
      <c r="S10" s="75" t="str">
        <f t="shared" si="0"/>
        <v>AL_CALHOUN</v>
      </c>
      <c r="AC10" s="31" t="s">
        <v>101</v>
      </c>
      <c r="AE10" s="31" t="s">
        <v>2624</v>
      </c>
    </row>
    <row r="11" spans="1:31" x14ac:dyDescent="0.2">
      <c r="Q11" s="30" t="s">
        <v>205</v>
      </c>
      <c r="R11" s="71" t="s">
        <v>104</v>
      </c>
      <c r="S11" s="75" t="str">
        <f t="shared" si="0"/>
        <v>AL_CHAMBERS</v>
      </c>
      <c r="AC11" s="30" t="s">
        <v>100</v>
      </c>
      <c r="AE11" s="30" t="s">
        <v>2625</v>
      </c>
    </row>
    <row r="12" spans="1:31" x14ac:dyDescent="0.2">
      <c r="Q12" s="31" t="s">
        <v>206</v>
      </c>
      <c r="R12" s="72" t="s">
        <v>104</v>
      </c>
      <c r="S12" s="75" t="str">
        <f t="shared" si="0"/>
        <v>AL_CHEROKEE</v>
      </c>
      <c r="AC12" s="31" t="s">
        <v>99</v>
      </c>
      <c r="AE12" s="31" t="s">
        <v>2633</v>
      </c>
    </row>
    <row r="13" spans="1:31" x14ac:dyDescent="0.2">
      <c r="Q13" s="30" t="s">
        <v>207</v>
      </c>
      <c r="R13" s="71" t="s">
        <v>104</v>
      </c>
      <c r="S13" s="75" t="str">
        <f t="shared" si="0"/>
        <v>AL_CHILTON</v>
      </c>
      <c r="AC13" s="30" t="s">
        <v>56</v>
      </c>
      <c r="AE13" s="30" t="s">
        <v>2628</v>
      </c>
    </row>
    <row r="14" spans="1:31" x14ac:dyDescent="0.2">
      <c r="Q14" s="31" t="s">
        <v>208</v>
      </c>
      <c r="R14" s="72" t="s">
        <v>104</v>
      </c>
      <c r="S14" s="75" t="str">
        <f t="shared" si="0"/>
        <v>AL_CHOCTAW</v>
      </c>
      <c r="AC14" s="31" t="s">
        <v>483</v>
      </c>
      <c r="AE14" s="31" t="s">
        <v>1503</v>
      </c>
    </row>
    <row r="15" spans="1:31" x14ac:dyDescent="0.2">
      <c r="Q15" s="30" t="s">
        <v>209</v>
      </c>
      <c r="R15" s="71" t="s">
        <v>104</v>
      </c>
      <c r="S15" s="75" t="str">
        <f t="shared" si="0"/>
        <v>AL_CLARKE</v>
      </c>
      <c r="AC15" s="30" t="s">
        <v>98</v>
      </c>
      <c r="AE15" s="30" t="s">
        <v>2627</v>
      </c>
    </row>
    <row r="16" spans="1:31" x14ac:dyDescent="0.2">
      <c r="Q16" s="31" t="s">
        <v>210</v>
      </c>
      <c r="R16" s="72" t="s">
        <v>104</v>
      </c>
      <c r="S16" s="75" t="str">
        <f t="shared" si="0"/>
        <v>AL_CLAY</v>
      </c>
      <c r="AC16" s="31" t="s">
        <v>97</v>
      </c>
      <c r="AE16" s="31" t="s">
        <v>2629</v>
      </c>
    </row>
    <row r="17" spans="17:31" x14ac:dyDescent="0.2">
      <c r="Q17" s="30" t="s">
        <v>211</v>
      </c>
      <c r="R17" s="71" t="s">
        <v>104</v>
      </c>
      <c r="S17" s="75" t="str">
        <f t="shared" si="0"/>
        <v>AL_CLEBURNE</v>
      </c>
      <c r="AC17" s="30" t="s">
        <v>96</v>
      </c>
      <c r="AE17" s="30" t="s">
        <v>2631</v>
      </c>
    </row>
    <row r="18" spans="17:31" x14ac:dyDescent="0.2">
      <c r="Q18" s="31" t="s">
        <v>212</v>
      </c>
      <c r="R18" s="72" t="s">
        <v>104</v>
      </c>
      <c r="S18" s="75" t="str">
        <f t="shared" si="0"/>
        <v>AL_COFFEE</v>
      </c>
      <c r="AC18" s="31" t="s">
        <v>95</v>
      </c>
      <c r="AE18" s="31" t="s">
        <v>2630</v>
      </c>
    </row>
    <row r="19" spans="17:31" x14ac:dyDescent="0.2">
      <c r="Q19" s="30" t="s">
        <v>213</v>
      </c>
      <c r="R19" s="71" t="s">
        <v>104</v>
      </c>
      <c r="S19" s="75" t="str">
        <f t="shared" si="0"/>
        <v>AL_COLBERT</v>
      </c>
      <c r="AC19" s="30" t="s">
        <v>94</v>
      </c>
      <c r="AE19" s="30" t="s">
        <v>2749</v>
      </c>
    </row>
    <row r="20" spans="17:31" x14ac:dyDescent="0.2">
      <c r="Q20" s="31" t="s">
        <v>214</v>
      </c>
      <c r="R20" s="72" t="s">
        <v>104</v>
      </c>
      <c r="S20" s="75" t="str">
        <f t="shared" si="0"/>
        <v>AL_CONECUH</v>
      </c>
      <c r="AC20" s="31" t="s">
        <v>93</v>
      </c>
      <c r="AE20" s="31" t="s">
        <v>2750</v>
      </c>
    </row>
    <row r="21" spans="17:31" x14ac:dyDescent="0.2">
      <c r="Q21" s="30" t="s">
        <v>215</v>
      </c>
      <c r="R21" s="71" t="s">
        <v>104</v>
      </c>
      <c r="S21" s="75" t="str">
        <f t="shared" si="0"/>
        <v>AL_COOSA</v>
      </c>
      <c r="AC21" s="30" t="s">
        <v>92</v>
      </c>
      <c r="AE21" s="30" t="s">
        <v>2632</v>
      </c>
    </row>
    <row r="22" spans="17:31" x14ac:dyDescent="0.2">
      <c r="Q22" s="31" t="s">
        <v>216</v>
      </c>
      <c r="R22" s="72" t="s">
        <v>104</v>
      </c>
      <c r="S22" s="75" t="str">
        <f t="shared" si="0"/>
        <v>AL_COVINGTON</v>
      </c>
      <c r="AC22" s="31" t="s">
        <v>91</v>
      </c>
      <c r="AE22" s="31" t="s">
        <v>2642</v>
      </c>
    </row>
    <row r="23" spans="17:31" x14ac:dyDescent="0.2">
      <c r="Q23" s="30" t="s">
        <v>217</v>
      </c>
      <c r="R23" s="71" t="s">
        <v>104</v>
      </c>
      <c r="S23" s="75" t="str">
        <f t="shared" si="0"/>
        <v>AL_CRENSHAW</v>
      </c>
      <c r="AC23" s="30" t="s">
        <v>90</v>
      </c>
      <c r="AE23" s="30" t="s">
        <v>2736</v>
      </c>
    </row>
    <row r="24" spans="17:31" x14ac:dyDescent="0.2">
      <c r="Q24" s="31" t="s">
        <v>218</v>
      </c>
      <c r="R24" s="72" t="s">
        <v>104</v>
      </c>
      <c r="S24" s="75" t="str">
        <f t="shared" si="0"/>
        <v>AL_CULLMAN</v>
      </c>
      <c r="AC24" s="31" t="s">
        <v>89</v>
      </c>
      <c r="AE24" s="31" t="s">
        <v>2634</v>
      </c>
    </row>
    <row r="25" spans="17:31" x14ac:dyDescent="0.2">
      <c r="Q25" s="30" t="s">
        <v>219</v>
      </c>
      <c r="R25" s="71" t="s">
        <v>104</v>
      </c>
      <c r="S25" s="75" t="str">
        <f t="shared" si="0"/>
        <v>AL_DALE</v>
      </c>
      <c r="AC25" s="30" t="s">
        <v>88</v>
      </c>
      <c r="AE25" s="30" t="s">
        <v>2645</v>
      </c>
    </row>
    <row r="26" spans="17:31" x14ac:dyDescent="0.2">
      <c r="Q26" s="31" t="s">
        <v>220</v>
      </c>
      <c r="R26" s="72" t="s">
        <v>104</v>
      </c>
      <c r="S26" s="75" t="str">
        <f t="shared" si="0"/>
        <v>AL_DALLAS</v>
      </c>
      <c r="AC26" s="31" t="s">
        <v>87</v>
      </c>
      <c r="AE26" s="31" t="s">
        <v>2650</v>
      </c>
    </row>
    <row r="27" spans="17:31" x14ac:dyDescent="0.2">
      <c r="Q27" s="30" t="s">
        <v>221</v>
      </c>
      <c r="R27" s="71" t="s">
        <v>104</v>
      </c>
      <c r="S27" s="75" t="str">
        <f t="shared" si="0"/>
        <v>AL_DEKALB</v>
      </c>
      <c r="AC27" s="30" t="s">
        <v>86</v>
      </c>
      <c r="AE27" s="30" t="s">
        <v>2646</v>
      </c>
    </row>
    <row r="28" spans="17:31" x14ac:dyDescent="0.2">
      <c r="Q28" s="31" t="s">
        <v>222</v>
      </c>
      <c r="R28" s="72" t="s">
        <v>104</v>
      </c>
      <c r="S28" s="75" t="str">
        <f t="shared" si="0"/>
        <v>AL_ELMORE</v>
      </c>
      <c r="AC28" s="31" t="s">
        <v>85</v>
      </c>
      <c r="AE28" s="31" t="s">
        <v>2647</v>
      </c>
    </row>
    <row r="29" spans="17:31" x14ac:dyDescent="0.2">
      <c r="Q29" s="30" t="s">
        <v>223</v>
      </c>
      <c r="R29" s="71" t="s">
        <v>104</v>
      </c>
      <c r="S29" s="75" t="str">
        <f t="shared" si="0"/>
        <v>AL_ESCAMBIA</v>
      </c>
      <c r="AC29" s="30" t="s">
        <v>84</v>
      </c>
      <c r="AE29" s="30" t="s">
        <v>2648</v>
      </c>
    </row>
    <row r="30" spans="17:31" x14ac:dyDescent="0.2">
      <c r="Q30" s="31" t="s">
        <v>224</v>
      </c>
      <c r="R30" s="72" t="s">
        <v>104</v>
      </c>
      <c r="S30" s="75" t="str">
        <f t="shared" si="0"/>
        <v>AL_ETOWAH</v>
      </c>
      <c r="AC30" s="31" t="s">
        <v>83</v>
      </c>
      <c r="AE30" s="31" t="s">
        <v>2649</v>
      </c>
    </row>
    <row r="31" spans="17:31" x14ac:dyDescent="0.2">
      <c r="Q31" s="30" t="s">
        <v>225</v>
      </c>
      <c r="R31" s="71" t="s">
        <v>104</v>
      </c>
      <c r="S31" s="75" t="str">
        <f t="shared" si="0"/>
        <v>AL_FAYETTE</v>
      </c>
      <c r="AC31" s="30" t="s">
        <v>82</v>
      </c>
      <c r="AE31" s="30" t="s">
        <v>2635</v>
      </c>
    </row>
    <row r="32" spans="17:31" x14ac:dyDescent="0.2">
      <c r="Q32" s="31" t="s">
        <v>226</v>
      </c>
      <c r="R32" s="72" t="s">
        <v>104</v>
      </c>
      <c r="S32" s="75" t="str">
        <f t="shared" si="0"/>
        <v>AL_FRANKLIN</v>
      </c>
      <c r="AC32" s="31" t="s">
        <v>81</v>
      </c>
      <c r="AE32" s="31" t="s">
        <v>2643</v>
      </c>
    </row>
    <row r="33" spans="17:31" x14ac:dyDescent="0.2">
      <c r="Q33" s="30" t="s">
        <v>227</v>
      </c>
      <c r="R33" s="71" t="s">
        <v>104</v>
      </c>
      <c r="S33" s="75" t="str">
        <f t="shared" si="0"/>
        <v>AL_GENEVA</v>
      </c>
      <c r="AC33" s="30" t="s">
        <v>80</v>
      </c>
      <c r="AE33" s="30" t="s">
        <v>2741</v>
      </c>
    </row>
    <row r="34" spans="17:31" x14ac:dyDescent="0.2">
      <c r="Q34" s="31" t="s">
        <v>228</v>
      </c>
      <c r="R34" s="72" t="s">
        <v>104</v>
      </c>
      <c r="S34" s="75" t="str">
        <f t="shared" si="0"/>
        <v>AL_GREENE</v>
      </c>
      <c r="AC34" s="31" t="s">
        <v>79</v>
      </c>
      <c r="AE34" s="31" t="s">
        <v>2653</v>
      </c>
    </row>
    <row r="35" spans="17:31" x14ac:dyDescent="0.2">
      <c r="Q35" s="30" t="s">
        <v>229</v>
      </c>
      <c r="R35" s="71" t="s">
        <v>104</v>
      </c>
      <c r="S35" s="75" t="str">
        <f t="shared" si="0"/>
        <v>AL_HALE</v>
      </c>
      <c r="AC35" s="30" t="s">
        <v>78</v>
      </c>
      <c r="AE35" s="30" t="s">
        <v>2638</v>
      </c>
    </row>
    <row r="36" spans="17:31" x14ac:dyDescent="0.2">
      <c r="Q36" s="31" t="s">
        <v>230</v>
      </c>
      <c r="R36" s="72" t="s">
        <v>104</v>
      </c>
      <c r="S36" s="75" t="str">
        <f t="shared" si="0"/>
        <v>AL_HENRY</v>
      </c>
      <c r="AC36" s="31" t="s">
        <v>77</v>
      </c>
      <c r="AE36" s="31" t="s">
        <v>2639</v>
      </c>
    </row>
    <row r="37" spans="17:31" x14ac:dyDescent="0.2">
      <c r="Q37" s="30" t="s">
        <v>231</v>
      </c>
      <c r="R37" s="71" t="s">
        <v>104</v>
      </c>
      <c r="S37" s="75" t="str">
        <f t="shared" si="0"/>
        <v>AL_HOUSTON</v>
      </c>
      <c r="AC37" s="30" t="s">
        <v>75</v>
      </c>
      <c r="AE37" s="30" t="s">
        <v>2637</v>
      </c>
    </row>
    <row r="38" spans="17:31" x14ac:dyDescent="0.2">
      <c r="Q38" s="31" t="s">
        <v>232</v>
      </c>
      <c r="R38" s="72" t="s">
        <v>104</v>
      </c>
      <c r="S38" s="75" t="str">
        <f t="shared" si="0"/>
        <v>AL_JACKSON</v>
      </c>
      <c r="AC38" s="31" t="s">
        <v>74</v>
      </c>
      <c r="AE38" s="31" t="s">
        <v>2636</v>
      </c>
    </row>
    <row r="39" spans="17:31" x14ac:dyDescent="0.2">
      <c r="Q39" s="30" t="s">
        <v>233</v>
      </c>
      <c r="R39" s="71" t="s">
        <v>104</v>
      </c>
      <c r="S39" s="75" t="str">
        <f t="shared" si="0"/>
        <v>AL_JEFFERSON</v>
      </c>
      <c r="AC39" s="30" t="s">
        <v>73</v>
      </c>
      <c r="AE39" s="30" t="s">
        <v>2640</v>
      </c>
    </row>
    <row r="40" spans="17:31" x14ac:dyDescent="0.2">
      <c r="Q40" s="31" t="s">
        <v>234</v>
      </c>
      <c r="R40" s="72" t="s">
        <v>104</v>
      </c>
      <c r="S40" s="75" t="str">
        <f t="shared" si="0"/>
        <v>AL_LAMAR</v>
      </c>
      <c r="AC40" s="31" t="s">
        <v>72</v>
      </c>
      <c r="AE40" s="31" t="s">
        <v>2743</v>
      </c>
    </row>
    <row r="41" spans="17:31" x14ac:dyDescent="0.2">
      <c r="Q41" s="30" t="s">
        <v>235</v>
      </c>
      <c r="R41" s="71" t="s">
        <v>104</v>
      </c>
      <c r="S41" s="75" t="str">
        <f t="shared" si="0"/>
        <v>AL_LAUDERDALE</v>
      </c>
      <c r="AC41" s="30" t="s">
        <v>27</v>
      </c>
      <c r="AE41" s="30" t="s">
        <v>2644</v>
      </c>
    </row>
    <row r="42" spans="17:31" x14ac:dyDescent="0.2">
      <c r="Q42" s="31" t="s">
        <v>236</v>
      </c>
      <c r="R42" s="72" t="s">
        <v>104</v>
      </c>
      <c r="S42" s="75" t="str">
        <f t="shared" si="0"/>
        <v>AL_LAWRENCE</v>
      </c>
      <c r="AC42" s="31" t="s">
        <v>71</v>
      </c>
      <c r="AE42" s="31" t="s">
        <v>2735</v>
      </c>
    </row>
    <row r="43" spans="17:31" x14ac:dyDescent="0.2">
      <c r="Q43" s="30" t="s">
        <v>237</v>
      </c>
      <c r="R43" s="71" t="s">
        <v>104</v>
      </c>
      <c r="S43" s="75" t="str">
        <f t="shared" si="0"/>
        <v>AL_LEE</v>
      </c>
      <c r="AC43" s="30" t="s">
        <v>70</v>
      </c>
      <c r="AE43" s="30" t="s">
        <v>2651</v>
      </c>
    </row>
    <row r="44" spans="17:31" x14ac:dyDescent="0.2">
      <c r="Q44" s="31" t="s">
        <v>238</v>
      </c>
      <c r="R44" s="72" t="s">
        <v>104</v>
      </c>
      <c r="S44" s="75" t="str">
        <f t="shared" si="0"/>
        <v>AL_LIMESTONE</v>
      </c>
      <c r="AC44" s="31" t="s">
        <v>68</v>
      </c>
      <c r="AE44" s="31" t="s">
        <v>2652</v>
      </c>
    </row>
    <row r="45" spans="17:31" x14ac:dyDescent="0.2">
      <c r="Q45" s="30" t="s">
        <v>239</v>
      </c>
      <c r="R45" s="71" t="s">
        <v>104</v>
      </c>
      <c r="S45" s="75" t="str">
        <f t="shared" si="0"/>
        <v>AL_LOWNDES</v>
      </c>
      <c r="AC45" s="30" t="s">
        <v>67</v>
      </c>
      <c r="AE45" s="30" t="s">
        <v>2654</v>
      </c>
    </row>
    <row r="46" spans="17:31" x14ac:dyDescent="0.2">
      <c r="Q46" s="31" t="s">
        <v>240</v>
      </c>
      <c r="R46" s="72" t="s">
        <v>104</v>
      </c>
      <c r="S46" s="75" t="str">
        <f t="shared" si="0"/>
        <v>AL_MACON</v>
      </c>
      <c r="AC46" s="31" t="s">
        <v>66</v>
      </c>
      <c r="AE46" s="31" t="s">
        <v>2748</v>
      </c>
    </row>
    <row r="47" spans="17:31" x14ac:dyDescent="0.2">
      <c r="Q47" s="30" t="s">
        <v>241</v>
      </c>
      <c r="R47" s="71" t="s">
        <v>104</v>
      </c>
      <c r="S47" s="75" t="str">
        <f t="shared" si="0"/>
        <v>AL_MADISON</v>
      </c>
      <c r="AC47" s="30" t="s">
        <v>65</v>
      </c>
      <c r="AE47" s="30" t="s">
        <v>2963</v>
      </c>
    </row>
    <row r="48" spans="17:31" x14ac:dyDescent="0.2">
      <c r="Q48" s="31" t="s">
        <v>242</v>
      </c>
      <c r="R48" s="72" t="s">
        <v>104</v>
      </c>
      <c r="S48" s="75" t="str">
        <f t="shared" si="0"/>
        <v>AL_MARENGO</v>
      </c>
      <c r="AC48" s="31" t="s">
        <v>64</v>
      </c>
      <c r="AE48" s="31" t="s">
        <v>2655</v>
      </c>
    </row>
    <row r="49" spans="17:31" x14ac:dyDescent="0.2">
      <c r="Q49" s="30" t="s">
        <v>243</v>
      </c>
      <c r="R49" s="71" t="s">
        <v>104</v>
      </c>
      <c r="S49" s="75" t="str">
        <f t="shared" si="0"/>
        <v>AL_MARION</v>
      </c>
      <c r="AC49" s="30" t="s">
        <v>63</v>
      </c>
      <c r="AE49" s="30" t="s">
        <v>2657</v>
      </c>
    </row>
    <row r="50" spans="17:31" x14ac:dyDescent="0.2">
      <c r="Q50" s="31" t="s">
        <v>244</v>
      </c>
      <c r="R50" s="72" t="s">
        <v>104</v>
      </c>
      <c r="S50" s="75" t="str">
        <f t="shared" si="0"/>
        <v>AL_MARSHALL</v>
      </c>
      <c r="AC50" s="31" t="s">
        <v>62</v>
      </c>
      <c r="AE50" s="31" t="s">
        <v>2656</v>
      </c>
    </row>
    <row r="51" spans="17:31" x14ac:dyDescent="0.2">
      <c r="Q51" s="30" t="s">
        <v>245</v>
      </c>
      <c r="R51" s="71" t="s">
        <v>104</v>
      </c>
      <c r="S51" s="75" t="str">
        <f t="shared" si="0"/>
        <v>AL_MOBILE</v>
      </c>
      <c r="AC51" s="30" t="s">
        <v>61</v>
      </c>
      <c r="AE51" s="30" t="s">
        <v>2751</v>
      </c>
    </row>
    <row r="52" spans="17:31" x14ac:dyDescent="0.2">
      <c r="Q52" s="31" t="s">
        <v>246</v>
      </c>
      <c r="R52" s="72" t="s">
        <v>104</v>
      </c>
      <c r="S52" s="75" t="str">
        <f t="shared" si="0"/>
        <v>AL_MONROE</v>
      </c>
      <c r="AC52" s="31" t="s">
        <v>60</v>
      </c>
      <c r="AE52" s="31" t="s">
        <v>2954</v>
      </c>
    </row>
    <row r="53" spans="17:31" x14ac:dyDescent="0.2">
      <c r="Q53" s="30" t="s">
        <v>247</v>
      </c>
      <c r="R53" s="71" t="s">
        <v>104</v>
      </c>
      <c r="S53" s="75" t="str">
        <f t="shared" si="0"/>
        <v>AL_MONTGOMERY</v>
      </c>
      <c r="AC53" s="30" t="s">
        <v>59</v>
      </c>
      <c r="AE53" s="30" t="s">
        <v>2658</v>
      </c>
    </row>
    <row r="54" spans="17:31" x14ac:dyDescent="0.2">
      <c r="Q54" s="31" t="s">
        <v>248</v>
      </c>
      <c r="R54" s="72" t="s">
        <v>104</v>
      </c>
      <c r="S54" s="75" t="str">
        <f t="shared" si="0"/>
        <v>AL_MORGAN</v>
      </c>
      <c r="AC54" s="31" t="s">
        <v>58</v>
      </c>
      <c r="AE54" s="31" t="s">
        <v>2659</v>
      </c>
    </row>
    <row r="55" spans="17:31" x14ac:dyDescent="0.2">
      <c r="Q55" s="30" t="s">
        <v>249</v>
      </c>
      <c r="R55" s="71" t="s">
        <v>104</v>
      </c>
      <c r="S55" s="75" t="str">
        <f t="shared" si="0"/>
        <v>AL_PERRY</v>
      </c>
      <c r="AC55" s="30" t="s">
        <v>57</v>
      </c>
      <c r="AE55" s="30" t="s">
        <v>2745</v>
      </c>
    </row>
    <row r="56" spans="17:31" x14ac:dyDescent="0.2">
      <c r="Q56" s="31" t="s">
        <v>250</v>
      </c>
      <c r="R56" s="72" t="s">
        <v>104</v>
      </c>
      <c r="S56" s="75" t="str">
        <f t="shared" si="0"/>
        <v>AL_PICKENS</v>
      </c>
      <c r="AE56" s="31" t="s">
        <v>2667</v>
      </c>
    </row>
    <row r="57" spans="17:31" x14ac:dyDescent="0.2">
      <c r="Q57" s="30" t="s">
        <v>251</v>
      </c>
      <c r="R57" s="71" t="s">
        <v>104</v>
      </c>
      <c r="S57" s="75" t="str">
        <f t="shared" si="0"/>
        <v>AL_PIKE</v>
      </c>
      <c r="AE57" s="30" t="s">
        <v>2668</v>
      </c>
    </row>
    <row r="58" spans="17:31" x14ac:dyDescent="0.2">
      <c r="Q58" s="31" t="s">
        <v>252</v>
      </c>
      <c r="R58" s="72" t="s">
        <v>104</v>
      </c>
      <c r="S58" s="75" t="str">
        <f t="shared" si="0"/>
        <v>AL_RANDOLPH</v>
      </c>
      <c r="AE58" s="31" t="s">
        <v>2660</v>
      </c>
    </row>
    <row r="59" spans="17:31" x14ac:dyDescent="0.2">
      <c r="Q59" s="30" t="s">
        <v>253</v>
      </c>
      <c r="R59" s="71" t="s">
        <v>104</v>
      </c>
      <c r="S59" s="75" t="str">
        <f t="shared" si="0"/>
        <v>AL_RUSSELL</v>
      </c>
      <c r="AE59" s="30" t="s">
        <v>2661</v>
      </c>
    </row>
    <row r="60" spans="17:31" x14ac:dyDescent="0.2">
      <c r="Q60" s="31" t="s">
        <v>254</v>
      </c>
      <c r="R60" s="72" t="s">
        <v>104</v>
      </c>
      <c r="S60" s="75" t="str">
        <f t="shared" si="0"/>
        <v>AL_ST. CLAIR</v>
      </c>
      <c r="AE60" s="31" t="s">
        <v>2669</v>
      </c>
    </row>
    <row r="61" spans="17:31" x14ac:dyDescent="0.2">
      <c r="Q61" s="30" t="s">
        <v>255</v>
      </c>
      <c r="R61" s="71" t="s">
        <v>104</v>
      </c>
      <c r="S61" s="75" t="str">
        <f t="shared" si="0"/>
        <v>AL_SHELBY</v>
      </c>
      <c r="AE61" s="30" t="s">
        <v>2670</v>
      </c>
    </row>
    <row r="62" spans="17:31" x14ac:dyDescent="0.2">
      <c r="Q62" s="31" t="s">
        <v>256</v>
      </c>
      <c r="R62" s="72" t="s">
        <v>104</v>
      </c>
      <c r="S62" s="75" t="str">
        <f t="shared" si="0"/>
        <v>AL_SUMTER</v>
      </c>
      <c r="AE62" s="31" t="s">
        <v>2662</v>
      </c>
    </row>
    <row r="63" spans="17:31" x14ac:dyDescent="0.2">
      <c r="Q63" s="30" t="s">
        <v>257</v>
      </c>
      <c r="R63" s="71" t="s">
        <v>104</v>
      </c>
      <c r="S63" s="75" t="str">
        <f t="shared" si="0"/>
        <v>AL_TALLADEGA</v>
      </c>
      <c r="AE63" s="30" t="s">
        <v>2663</v>
      </c>
    </row>
    <row r="64" spans="17:31" x14ac:dyDescent="0.2">
      <c r="Q64" s="31" t="s">
        <v>258</v>
      </c>
      <c r="R64" s="72" t="s">
        <v>104</v>
      </c>
      <c r="S64" s="75" t="str">
        <f t="shared" si="0"/>
        <v>AL_TALLAPOOSA</v>
      </c>
      <c r="AE64" s="31" t="s">
        <v>2664</v>
      </c>
    </row>
    <row r="65" spans="17:31" x14ac:dyDescent="0.2">
      <c r="Q65" s="30" t="s">
        <v>259</v>
      </c>
      <c r="R65" s="71" t="s">
        <v>104</v>
      </c>
      <c r="S65" s="75" t="str">
        <f t="shared" si="0"/>
        <v>AL_TUSCALOOSA</v>
      </c>
      <c r="AE65" s="30" t="s">
        <v>2742</v>
      </c>
    </row>
    <row r="66" spans="17:31" x14ac:dyDescent="0.2">
      <c r="Q66" s="31" t="s">
        <v>260</v>
      </c>
      <c r="R66" s="72" t="s">
        <v>104</v>
      </c>
      <c r="S66" s="75" t="str">
        <f t="shared" si="0"/>
        <v>AL_WALKER</v>
      </c>
      <c r="AE66" s="31" t="s">
        <v>2665</v>
      </c>
    </row>
    <row r="67" spans="17:31" x14ac:dyDescent="0.2">
      <c r="Q67" s="30" t="s">
        <v>261</v>
      </c>
      <c r="R67" s="71" t="s">
        <v>104</v>
      </c>
      <c r="S67" s="75" t="str">
        <f t="shared" si="0"/>
        <v>AL_WASHINGTON</v>
      </c>
      <c r="AE67" s="30" t="s">
        <v>2746</v>
      </c>
    </row>
    <row r="68" spans="17:31" x14ac:dyDescent="0.2">
      <c r="Q68" s="31" t="s">
        <v>262</v>
      </c>
      <c r="R68" s="72" t="s">
        <v>104</v>
      </c>
      <c r="S68" s="75" t="str">
        <f t="shared" ref="S68:S131" si="1">UPPER(CONCATENATE(TRIM(R68),"_",TRIM(Q68)))</f>
        <v>AL_WILCOX</v>
      </c>
      <c r="AE68" s="31" t="s">
        <v>2740</v>
      </c>
    </row>
    <row r="69" spans="17:31" x14ac:dyDescent="0.2">
      <c r="Q69" s="30" t="s">
        <v>263</v>
      </c>
      <c r="R69" s="71" t="s">
        <v>104</v>
      </c>
      <c r="S69" s="75" t="str">
        <f t="shared" si="1"/>
        <v>AL_WINSTON</v>
      </c>
      <c r="AE69" s="30" t="s">
        <v>2671</v>
      </c>
    </row>
    <row r="70" spans="17:31" x14ac:dyDescent="0.2">
      <c r="Q70" s="31" t="s">
        <v>264</v>
      </c>
      <c r="R70" s="72" t="s">
        <v>103</v>
      </c>
      <c r="S70" s="75" t="str">
        <f t="shared" si="1"/>
        <v>AK_ALEUTIANS EAST BOROUGH</v>
      </c>
      <c r="AE70" s="31" t="s">
        <v>2672</v>
      </c>
    </row>
    <row r="71" spans="17:31" x14ac:dyDescent="0.2">
      <c r="Q71" s="30" t="s">
        <v>265</v>
      </c>
      <c r="R71" s="71" t="s">
        <v>103</v>
      </c>
      <c r="S71" s="75" t="str">
        <f t="shared" si="1"/>
        <v>AK_ALEUTIANS WEST CENSUS AREA</v>
      </c>
      <c r="AE71" s="30" t="s">
        <v>2733</v>
      </c>
    </row>
    <row r="72" spans="17:31" x14ac:dyDescent="0.2">
      <c r="Q72" s="31" t="s">
        <v>266</v>
      </c>
      <c r="R72" s="72" t="s">
        <v>103</v>
      </c>
      <c r="S72" s="75" t="str">
        <f t="shared" si="1"/>
        <v>AK_ANCHORAGE BOROUGH</v>
      </c>
      <c r="AE72" s="31" t="s">
        <v>2674</v>
      </c>
    </row>
    <row r="73" spans="17:31" x14ac:dyDescent="0.2">
      <c r="Q73" s="30" t="s">
        <v>267</v>
      </c>
      <c r="R73" s="71" t="s">
        <v>103</v>
      </c>
      <c r="S73" s="75" t="str">
        <f t="shared" si="1"/>
        <v>AK_BETHEL CENSUS AREA</v>
      </c>
      <c r="AE73" s="30" t="s">
        <v>2675</v>
      </c>
    </row>
    <row r="74" spans="17:31" x14ac:dyDescent="0.2">
      <c r="Q74" s="31" t="s">
        <v>268</v>
      </c>
      <c r="R74" s="72" t="s">
        <v>103</v>
      </c>
      <c r="S74" s="75" t="str">
        <f t="shared" si="1"/>
        <v>AK_BRISTOL BAY BOROUGH</v>
      </c>
      <c r="AE74" s="31" t="s">
        <v>2676</v>
      </c>
    </row>
    <row r="75" spans="17:31" x14ac:dyDescent="0.2">
      <c r="Q75" s="30" t="s">
        <v>269</v>
      </c>
      <c r="R75" s="71" t="s">
        <v>103</v>
      </c>
      <c r="S75" s="75" t="str">
        <f t="shared" si="1"/>
        <v>AK_DILLINGHAM CENSUS AREA</v>
      </c>
      <c r="AE75" s="30" t="s">
        <v>2677</v>
      </c>
    </row>
    <row r="76" spans="17:31" x14ac:dyDescent="0.2">
      <c r="Q76" s="31" t="s">
        <v>270</v>
      </c>
      <c r="R76" s="72" t="s">
        <v>103</v>
      </c>
      <c r="S76" s="75" t="str">
        <f t="shared" si="1"/>
        <v>AK_FAIRBANKS NORTH STAR BOROUGH</v>
      </c>
      <c r="AE76" s="31" t="s">
        <v>2678</v>
      </c>
    </row>
    <row r="77" spans="17:31" x14ac:dyDescent="0.2">
      <c r="Q77" s="30" t="s">
        <v>271</v>
      </c>
      <c r="R77" s="71" t="s">
        <v>103</v>
      </c>
      <c r="S77" s="75" t="str">
        <f t="shared" si="1"/>
        <v>AK_HAINES BOROUGH</v>
      </c>
      <c r="AE77" s="30" t="s">
        <v>2679</v>
      </c>
    </row>
    <row r="78" spans="17:31" x14ac:dyDescent="0.2">
      <c r="Q78" s="31" t="s">
        <v>272</v>
      </c>
      <c r="R78" s="72" t="s">
        <v>103</v>
      </c>
      <c r="S78" s="75" t="str">
        <f t="shared" si="1"/>
        <v>AK_JUNEAU BOROUGH</v>
      </c>
      <c r="AE78" s="31" t="s">
        <v>2680</v>
      </c>
    </row>
    <row r="79" spans="17:31" x14ac:dyDescent="0.2">
      <c r="Q79" s="30" t="s">
        <v>273</v>
      </c>
      <c r="R79" s="71" t="s">
        <v>103</v>
      </c>
      <c r="S79" s="75" t="str">
        <f t="shared" si="1"/>
        <v>AK_KENAI PENINSULA BOROUGH</v>
      </c>
      <c r="AE79" s="30" t="s">
        <v>2739</v>
      </c>
    </row>
    <row r="80" spans="17:31" x14ac:dyDescent="0.2">
      <c r="Q80" s="31" t="s">
        <v>274</v>
      </c>
      <c r="R80" s="72" t="s">
        <v>103</v>
      </c>
      <c r="S80" s="75" t="str">
        <f t="shared" si="1"/>
        <v>AK_KETCHIKAN GATEWAY BOROUGH</v>
      </c>
      <c r="AE80" s="31" t="s">
        <v>2681</v>
      </c>
    </row>
    <row r="81" spans="17:31" x14ac:dyDescent="0.2">
      <c r="Q81" s="30" t="s">
        <v>275</v>
      </c>
      <c r="R81" s="71" t="s">
        <v>103</v>
      </c>
      <c r="S81" s="75" t="str">
        <f t="shared" si="1"/>
        <v>AK_KODIAK ISLAND BOROUGH</v>
      </c>
      <c r="AE81" s="30" t="s">
        <v>2682</v>
      </c>
    </row>
    <row r="82" spans="17:31" x14ac:dyDescent="0.2">
      <c r="Q82" s="31" t="s">
        <v>276</v>
      </c>
      <c r="R82" s="72" t="s">
        <v>103</v>
      </c>
      <c r="S82" s="75" t="str">
        <f t="shared" si="1"/>
        <v>AK_LAKE AND PENINSULA BOROUGH</v>
      </c>
      <c r="AE82" s="31" t="s">
        <v>2683</v>
      </c>
    </row>
    <row r="83" spans="17:31" x14ac:dyDescent="0.2">
      <c r="Q83" s="30" t="s">
        <v>277</v>
      </c>
      <c r="R83" s="71" t="s">
        <v>103</v>
      </c>
      <c r="S83" s="75" t="str">
        <f t="shared" si="1"/>
        <v>AK_MATANUSKA-SUSITNA BOROUGH</v>
      </c>
      <c r="AE83" s="30" t="s">
        <v>2685</v>
      </c>
    </row>
    <row r="84" spans="17:31" x14ac:dyDescent="0.2">
      <c r="Q84" s="31" t="s">
        <v>278</v>
      </c>
      <c r="R84" s="72" t="s">
        <v>103</v>
      </c>
      <c r="S84" s="75" t="str">
        <f t="shared" si="1"/>
        <v>AK_NOME CENSUS AREA</v>
      </c>
      <c r="AE84" s="31" t="s">
        <v>2684</v>
      </c>
    </row>
    <row r="85" spans="17:31" x14ac:dyDescent="0.2">
      <c r="Q85" s="30" t="s">
        <v>279</v>
      </c>
      <c r="R85" s="71" t="s">
        <v>103</v>
      </c>
      <c r="S85" s="75" t="str">
        <f t="shared" si="1"/>
        <v>AK_NORTH SLOPE BOROUGH</v>
      </c>
      <c r="AE85" s="30" t="s">
        <v>2686</v>
      </c>
    </row>
    <row r="86" spans="17:31" x14ac:dyDescent="0.2">
      <c r="Q86" s="31" t="s">
        <v>280</v>
      </c>
      <c r="R86" s="72" t="s">
        <v>103</v>
      </c>
      <c r="S86" s="75" t="str">
        <f t="shared" si="1"/>
        <v>AK_NORTHWEST ARCTIC BOROUGH</v>
      </c>
      <c r="AE86" s="31" t="s">
        <v>2747</v>
      </c>
    </row>
    <row r="87" spans="17:31" x14ac:dyDescent="0.2">
      <c r="Q87" s="30" t="s">
        <v>281</v>
      </c>
      <c r="R87" s="71" t="s">
        <v>103</v>
      </c>
      <c r="S87" s="75" t="str">
        <f t="shared" si="1"/>
        <v>AK_PRINCE OF WALES-OUTER KETCHIKAN CENSUS</v>
      </c>
      <c r="AE87" s="30" t="s">
        <v>2687</v>
      </c>
    </row>
    <row r="88" spans="17:31" x14ac:dyDescent="0.2">
      <c r="Q88" s="31" t="s">
        <v>282</v>
      </c>
      <c r="R88" s="72" t="s">
        <v>103</v>
      </c>
      <c r="S88" s="75" t="str">
        <f t="shared" si="1"/>
        <v>AK_SITKA BOROUGH</v>
      </c>
      <c r="AE88" s="31" t="s">
        <v>2734</v>
      </c>
    </row>
    <row r="89" spans="17:31" x14ac:dyDescent="0.2">
      <c r="Q89" s="30" t="s">
        <v>283</v>
      </c>
      <c r="R89" s="71" t="s">
        <v>103</v>
      </c>
      <c r="S89" s="75" t="str">
        <f t="shared" si="1"/>
        <v>AK_SKAGWAY-YAKUTAT-ANGOON CENSUS AREA</v>
      </c>
      <c r="AE89" s="30" t="s">
        <v>2673</v>
      </c>
    </row>
    <row r="90" spans="17:31" x14ac:dyDescent="0.2">
      <c r="Q90" s="31" t="s">
        <v>284</v>
      </c>
      <c r="R90" s="72" t="s">
        <v>103</v>
      </c>
      <c r="S90" s="75" t="str">
        <f t="shared" si="1"/>
        <v>AK_SOUTHEAST FAIRBANKS CENSUS AREA</v>
      </c>
      <c r="AE90" s="31" t="s">
        <v>2700</v>
      </c>
    </row>
    <row r="91" spans="17:31" x14ac:dyDescent="0.2">
      <c r="Q91" s="30" t="s">
        <v>285</v>
      </c>
      <c r="R91" s="71" t="s">
        <v>103</v>
      </c>
      <c r="S91" s="75" t="str">
        <f t="shared" si="1"/>
        <v>AK_VALDEZ-CORDOVA CENSUS AREA</v>
      </c>
      <c r="AE91" s="30" t="s">
        <v>2698</v>
      </c>
    </row>
    <row r="92" spans="17:31" x14ac:dyDescent="0.2">
      <c r="Q92" s="31" t="s">
        <v>286</v>
      </c>
      <c r="R92" s="72" t="s">
        <v>103</v>
      </c>
      <c r="S92" s="75" t="str">
        <f t="shared" si="1"/>
        <v>AK_WADE HAMPTON CENSUS AREA</v>
      </c>
      <c r="AE92" s="31" t="s">
        <v>2689</v>
      </c>
    </row>
    <row r="93" spans="17:31" x14ac:dyDescent="0.2">
      <c r="Q93" s="30" t="s">
        <v>287</v>
      </c>
      <c r="R93" s="71" t="s">
        <v>103</v>
      </c>
      <c r="S93" s="75" t="str">
        <f t="shared" si="1"/>
        <v>AK_WRANGELL-PETERSBURG CENSUS AREA</v>
      </c>
      <c r="AE93" s="30" t="s">
        <v>2690</v>
      </c>
    </row>
    <row r="94" spans="17:31" x14ac:dyDescent="0.2">
      <c r="Q94" s="31" t="s">
        <v>288</v>
      </c>
      <c r="R94" s="72" t="s">
        <v>103</v>
      </c>
      <c r="S94" s="75" t="str">
        <f t="shared" si="1"/>
        <v>AK_YUKON-KOYUKUK CENSUS AREA</v>
      </c>
      <c r="AE94" s="31" t="s">
        <v>2691</v>
      </c>
    </row>
    <row r="95" spans="17:31" x14ac:dyDescent="0.2">
      <c r="Q95" s="30" t="s">
        <v>289</v>
      </c>
      <c r="R95" s="71" t="s">
        <v>102</v>
      </c>
      <c r="S95" s="75" t="str">
        <f t="shared" si="1"/>
        <v>AZ_APACHE</v>
      </c>
      <c r="AE95" s="30" t="s">
        <v>2692</v>
      </c>
    </row>
    <row r="96" spans="17:31" x14ac:dyDescent="0.2">
      <c r="Q96" s="31" t="s">
        <v>290</v>
      </c>
      <c r="R96" s="72" t="s">
        <v>102</v>
      </c>
      <c r="S96" s="75" t="str">
        <f t="shared" si="1"/>
        <v>AZ_COCHISE</v>
      </c>
      <c r="AE96" s="31" t="s">
        <v>2694</v>
      </c>
    </row>
    <row r="97" spans="17:31" x14ac:dyDescent="0.2">
      <c r="Q97" s="30" t="s">
        <v>291</v>
      </c>
      <c r="R97" s="71" t="s">
        <v>102</v>
      </c>
      <c r="S97" s="75" t="str">
        <f t="shared" si="1"/>
        <v>AZ_COCONINO</v>
      </c>
      <c r="AE97" s="30" t="s">
        <v>2695</v>
      </c>
    </row>
    <row r="98" spans="17:31" x14ac:dyDescent="0.2">
      <c r="Q98" s="31" t="s">
        <v>292</v>
      </c>
      <c r="R98" s="72" t="s">
        <v>102</v>
      </c>
      <c r="S98" s="75" t="str">
        <f t="shared" si="1"/>
        <v>AZ_GILA</v>
      </c>
      <c r="AE98" s="31" t="s">
        <v>2693</v>
      </c>
    </row>
    <row r="99" spans="17:31" x14ac:dyDescent="0.2">
      <c r="Q99" s="30" t="s">
        <v>293</v>
      </c>
      <c r="R99" s="71" t="s">
        <v>102</v>
      </c>
      <c r="S99" s="75" t="str">
        <f t="shared" si="1"/>
        <v>AZ_GRAHAM</v>
      </c>
      <c r="AE99" s="30" t="s">
        <v>2688</v>
      </c>
    </row>
    <row r="100" spans="17:31" x14ac:dyDescent="0.2">
      <c r="Q100" s="31" t="s">
        <v>294</v>
      </c>
      <c r="R100" s="72" t="s">
        <v>102</v>
      </c>
      <c r="S100" s="75" t="str">
        <f t="shared" si="1"/>
        <v>AZ_GREENLEE</v>
      </c>
      <c r="AE100" s="31" t="s">
        <v>2696</v>
      </c>
    </row>
    <row r="101" spans="17:31" x14ac:dyDescent="0.2">
      <c r="Q101" s="30" t="s">
        <v>295</v>
      </c>
      <c r="R101" s="71" t="s">
        <v>102</v>
      </c>
      <c r="S101" s="75" t="str">
        <f t="shared" si="1"/>
        <v>AZ_LA PAZ</v>
      </c>
      <c r="AE101" s="30" t="s">
        <v>2697</v>
      </c>
    </row>
    <row r="102" spans="17:31" x14ac:dyDescent="0.2">
      <c r="Q102" s="31" t="s">
        <v>296</v>
      </c>
      <c r="R102" s="72" t="s">
        <v>102</v>
      </c>
      <c r="S102" s="75" t="str">
        <f t="shared" si="1"/>
        <v>AZ_MARICOPA</v>
      </c>
      <c r="AE102" s="31" t="s">
        <v>2701</v>
      </c>
    </row>
    <row r="103" spans="17:31" x14ac:dyDescent="0.2">
      <c r="Q103" s="30" t="s">
        <v>297</v>
      </c>
      <c r="R103" s="71" t="s">
        <v>102</v>
      </c>
      <c r="S103" s="75" t="str">
        <f t="shared" si="1"/>
        <v>AZ_MOHAVE</v>
      </c>
      <c r="AE103" s="30" t="s">
        <v>2702</v>
      </c>
    </row>
    <row r="104" spans="17:31" x14ac:dyDescent="0.2">
      <c r="Q104" s="31" t="s">
        <v>298</v>
      </c>
      <c r="R104" s="72" t="s">
        <v>102</v>
      </c>
      <c r="S104" s="75" t="str">
        <f t="shared" si="1"/>
        <v>AZ_NAVAJO</v>
      </c>
      <c r="AE104" s="31" t="s">
        <v>2703</v>
      </c>
    </row>
    <row r="105" spans="17:31" x14ac:dyDescent="0.2">
      <c r="Q105" s="30" t="s">
        <v>299</v>
      </c>
      <c r="R105" s="71" t="s">
        <v>102</v>
      </c>
      <c r="S105" s="75" t="str">
        <f t="shared" si="1"/>
        <v>AZ_PIMA</v>
      </c>
      <c r="AE105" s="30" t="s">
        <v>2699</v>
      </c>
    </row>
    <row r="106" spans="17:31" x14ac:dyDescent="0.2">
      <c r="Q106" s="31" t="s">
        <v>300</v>
      </c>
      <c r="R106" s="72" t="s">
        <v>102</v>
      </c>
      <c r="S106" s="75" t="str">
        <f t="shared" si="1"/>
        <v>AZ_PINAL</v>
      </c>
      <c r="AE106" s="31" t="s">
        <v>2704</v>
      </c>
    </row>
    <row r="107" spans="17:31" x14ac:dyDescent="0.2">
      <c r="Q107" s="30" t="s">
        <v>301</v>
      </c>
      <c r="R107" s="71" t="s">
        <v>102</v>
      </c>
      <c r="S107" s="75" t="str">
        <f t="shared" si="1"/>
        <v>AZ_SANTA CRUZ</v>
      </c>
      <c r="AE107" s="30" t="s">
        <v>2705</v>
      </c>
    </row>
    <row r="108" spans="17:31" x14ac:dyDescent="0.2">
      <c r="Q108" s="31" t="s">
        <v>302</v>
      </c>
      <c r="R108" s="72" t="s">
        <v>102</v>
      </c>
      <c r="S108" s="75" t="str">
        <f t="shared" si="1"/>
        <v>AZ_YAVAPAI</v>
      </c>
      <c r="AE108" s="31" t="s">
        <v>2732</v>
      </c>
    </row>
    <row r="109" spans="17:31" x14ac:dyDescent="0.2">
      <c r="Q109" s="30" t="s">
        <v>303</v>
      </c>
      <c r="R109" s="71" t="s">
        <v>102</v>
      </c>
      <c r="S109" s="75" t="str">
        <f t="shared" si="1"/>
        <v>AZ_YUMA</v>
      </c>
      <c r="AE109" s="30" t="s">
        <v>2706</v>
      </c>
    </row>
    <row r="110" spans="17:31" x14ac:dyDescent="0.2">
      <c r="Q110" s="31" t="s">
        <v>304</v>
      </c>
      <c r="R110" s="72" t="s">
        <v>101</v>
      </c>
      <c r="S110" s="75" t="str">
        <f t="shared" si="1"/>
        <v>AR_ARKANSAS</v>
      </c>
      <c r="AE110" s="31" t="s">
        <v>2715</v>
      </c>
    </row>
    <row r="111" spans="17:31" x14ac:dyDescent="0.2">
      <c r="Q111" s="30" t="s">
        <v>305</v>
      </c>
      <c r="R111" s="71" t="s">
        <v>101</v>
      </c>
      <c r="S111" s="75" t="str">
        <f t="shared" si="1"/>
        <v>AR_ASHLEY</v>
      </c>
      <c r="AE111" s="30" t="s">
        <v>2713</v>
      </c>
    </row>
    <row r="112" spans="17:31" x14ac:dyDescent="0.2">
      <c r="Q112" s="31" t="s">
        <v>306</v>
      </c>
      <c r="R112" s="72" t="s">
        <v>101</v>
      </c>
      <c r="S112" s="75" t="str">
        <f t="shared" si="1"/>
        <v>AR_BAXTER</v>
      </c>
      <c r="AE112" s="31" t="s">
        <v>2707</v>
      </c>
    </row>
    <row r="113" spans="17:31" x14ac:dyDescent="0.2">
      <c r="Q113" s="30" t="s">
        <v>307</v>
      </c>
      <c r="R113" s="71" t="s">
        <v>101</v>
      </c>
      <c r="S113" s="75" t="str">
        <f t="shared" si="1"/>
        <v>AR_BENTON</v>
      </c>
      <c r="AE113" s="30" t="s">
        <v>2708</v>
      </c>
    </row>
    <row r="114" spans="17:31" x14ac:dyDescent="0.2">
      <c r="Q114" s="31" t="s">
        <v>308</v>
      </c>
      <c r="R114" s="72" t="s">
        <v>101</v>
      </c>
      <c r="S114" s="75" t="str">
        <f t="shared" si="1"/>
        <v>AR_BOONE</v>
      </c>
      <c r="AE114" s="31" t="s">
        <v>2709</v>
      </c>
    </row>
    <row r="115" spans="17:31" x14ac:dyDescent="0.2">
      <c r="Q115" s="30" t="s">
        <v>309</v>
      </c>
      <c r="R115" s="71" t="s">
        <v>101</v>
      </c>
      <c r="S115" s="75" t="str">
        <f t="shared" si="1"/>
        <v>AR_BRADLEY</v>
      </c>
      <c r="AE115" s="30" t="s">
        <v>2710</v>
      </c>
    </row>
    <row r="116" spans="17:31" x14ac:dyDescent="0.2">
      <c r="Q116" s="31" t="s">
        <v>204</v>
      </c>
      <c r="R116" s="72" t="s">
        <v>101</v>
      </c>
      <c r="S116" s="75" t="str">
        <f t="shared" si="1"/>
        <v>AR_CALHOUN</v>
      </c>
      <c r="AE116" s="31" t="s">
        <v>2711</v>
      </c>
    </row>
    <row r="117" spans="17:31" x14ac:dyDescent="0.2">
      <c r="Q117" s="30" t="s">
        <v>310</v>
      </c>
      <c r="R117" s="71" t="s">
        <v>101</v>
      </c>
      <c r="S117" s="75" t="str">
        <f t="shared" si="1"/>
        <v>AR_CARROLL</v>
      </c>
      <c r="AE117" s="30" t="s">
        <v>2712</v>
      </c>
    </row>
    <row r="118" spans="17:31" x14ac:dyDescent="0.2">
      <c r="Q118" s="31" t="s">
        <v>311</v>
      </c>
      <c r="R118" s="72" t="s">
        <v>101</v>
      </c>
      <c r="S118" s="75" t="str">
        <f t="shared" si="1"/>
        <v>AR_CHICOT</v>
      </c>
      <c r="AE118" s="31" t="s">
        <v>2738</v>
      </c>
    </row>
    <row r="119" spans="17:31" x14ac:dyDescent="0.2">
      <c r="Q119" s="30" t="s">
        <v>312</v>
      </c>
      <c r="R119" s="71" t="s">
        <v>101</v>
      </c>
      <c r="S119" s="75" t="str">
        <f t="shared" si="1"/>
        <v>AR_CLARK</v>
      </c>
      <c r="AE119" s="30" t="s">
        <v>2714</v>
      </c>
    </row>
    <row r="120" spans="17:31" x14ac:dyDescent="0.2">
      <c r="Q120" s="31" t="s">
        <v>210</v>
      </c>
      <c r="R120" s="72" t="s">
        <v>101</v>
      </c>
      <c r="S120" s="75" t="str">
        <f t="shared" si="1"/>
        <v>AR_CLAY</v>
      </c>
      <c r="AE120" s="31" t="s">
        <v>2641</v>
      </c>
    </row>
    <row r="121" spans="17:31" x14ac:dyDescent="0.2">
      <c r="Q121" s="30" t="s">
        <v>211</v>
      </c>
      <c r="R121" s="71" t="s">
        <v>101</v>
      </c>
      <c r="S121" s="75" t="str">
        <f t="shared" si="1"/>
        <v>AR_CLEBURNE</v>
      </c>
      <c r="AE121" s="30" t="s">
        <v>2716</v>
      </c>
    </row>
    <row r="122" spans="17:31" x14ac:dyDescent="0.2">
      <c r="Q122" s="31" t="s">
        <v>313</v>
      </c>
      <c r="R122" s="72" t="s">
        <v>101</v>
      </c>
      <c r="S122" s="75" t="str">
        <f t="shared" si="1"/>
        <v>AR_CLEVELAND</v>
      </c>
      <c r="AE122" s="31" t="s">
        <v>2717</v>
      </c>
    </row>
    <row r="123" spans="17:31" x14ac:dyDescent="0.2">
      <c r="Q123" s="30" t="s">
        <v>314</v>
      </c>
      <c r="R123" s="71" t="s">
        <v>101</v>
      </c>
      <c r="S123" s="75" t="str">
        <f t="shared" si="1"/>
        <v>AR_COLUMBIA</v>
      </c>
      <c r="AE123" s="30" t="s">
        <v>2718</v>
      </c>
    </row>
    <row r="124" spans="17:31" x14ac:dyDescent="0.2">
      <c r="Q124" s="31" t="s">
        <v>315</v>
      </c>
      <c r="R124" s="72" t="s">
        <v>101</v>
      </c>
      <c r="S124" s="75" t="str">
        <f t="shared" si="1"/>
        <v>AR_CONWAY</v>
      </c>
      <c r="AE124" s="31" t="s">
        <v>2719</v>
      </c>
    </row>
    <row r="125" spans="17:31" x14ac:dyDescent="0.2">
      <c r="Q125" s="30" t="s">
        <v>316</v>
      </c>
      <c r="R125" s="71" t="s">
        <v>101</v>
      </c>
      <c r="S125" s="75" t="str">
        <f t="shared" si="1"/>
        <v>AR_CRAIGHEAD</v>
      </c>
      <c r="AE125" s="30" t="s">
        <v>2744</v>
      </c>
    </row>
    <row r="126" spans="17:31" x14ac:dyDescent="0.2">
      <c r="Q126" s="31" t="s">
        <v>317</v>
      </c>
      <c r="R126" s="72" t="s">
        <v>101</v>
      </c>
      <c r="S126" s="75" t="str">
        <f t="shared" si="1"/>
        <v>AR_CRAWFORD</v>
      </c>
      <c r="AE126" s="31" t="s">
        <v>2720</v>
      </c>
    </row>
    <row r="127" spans="17:31" x14ac:dyDescent="0.2">
      <c r="Q127" s="30" t="s">
        <v>318</v>
      </c>
      <c r="R127" s="71" t="s">
        <v>101</v>
      </c>
      <c r="S127" s="75" t="str">
        <f t="shared" si="1"/>
        <v>AR_CRITTENDEN</v>
      </c>
      <c r="AE127" s="30" t="s">
        <v>2725</v>
      </c>
    </row>
    <row r="128" spans="17:31" x14ac:dyDescent="0.2">
      <c r="Q128" s="31" t="s">
        <v>319</v>
      </c>
      <c r="R128" s="72" t="s">
        <v>101</v>
      </c>
      <c r="S128" s="75" t="str">
        <f t="shared" si="1"/>
        <v>AR_CROSS</v>
      </c>
      <c r="AE128" s="31" t="s">
        <v>2721</v>
      </c>
    </row>
    <row r="129" spans="17:31" x14ac:dyDescent="0.2">
      <c r="Q129" s="30" t="s">
        <v>220</v>
      </c>
      <c r="R129" s="71" t="s">
        <v>101</v>
      </c>
      <c r="S129" s="75" t="str">
        <f t="shared" si="1"/>
        <v>AR_DALLAS</v>
      </c>
      <c r="AE129" s="30" t="s">
        <v>2722</v>
      </c>
    </row>
    <row r="130" spans="17:31" x14ac:dyDescent="0.2">
      <c r="Q130" s="31" t="s">
        <v>320</v>
      </c>
      <c r="R130" s="72" t="s">
        <v>101</v>
      </c>
      <c r="S130" s="75" t="str">
        <f t="shared" si="1"/>
        <v>AR_DESHA</v>
      </c>
      <c r="AE130" s="31" t="s">
        <v>2723</v>
      </c>
    </row>
    <row r="131" spans="17:31" x14ac:dyDescent="0.2">
      <c r="Q131" s="30" t="s">
        <v>321</v>
      </c>
      <c r="R131" s="71" t="s">
        <v>101</v>
      </c>
      <c r="S131" s="75" t="str">
        <f t="shared" si="1"/>
        <v>AR_DREW</v>
      </c>
      <c r="AE131" s="30" t="s">
        <v>2731</v>
      </c>
    </row>
    <row r="132" spans="17:31" x14ac:dyDescent="0.2">
      <c r="Q132" s="31" t="s">
        <v>322</v>
      </c>
      <c r="R132" s="72" t="s">
        <v>101</v>
      </c>
      <c r="S132" s="75" t="str">
        <f t="shared" ref="S132:S195" si="2">UPPER(CONCATENATE(TRIM(R132),"_",TRIM(Q132)))</f>
        <v>AR_FAULKNER</v>
      </c>
      <c r="AE132" s="31" t="s">
        <v>2724</v>
      </c>
    </row>
    <row r="133" spans="17:31" x14ac:dyDescent="0.2">
      <c r="Q133" s="30" t="s">
        <v>226</v>
      </c>
      <c r="R133" s="71" t="s">
        <v>101</v>
      </c>
      <c r="S133" s="75" t="str">
        <f t="shared" si="2"/>
        <v>AR_FRANKLIN</v>
      </c>
      <c r="AE133" s="30" t="s">
        <v>2726</v>
      </c>
    </row>
    <row r="134" spans="17:31" x14ac:dyDescent="0.2">
      <c r="Q134" s="31" t="s">
        <v>323</v>
      </c>
      <c r="R134" s="72" t="s">
        <v>101</v>
      </c>
      <c r="S134" s="75" t="str">
        <f t="shared" si="2"/>
        <v>AR_FULTON</v>
      </c>
      <c r="AE134" s="31" t="s">
        <v>2727</v>
      </c>
    </row>
    <row r="135" spans="17:31" x14ac:dyDescent="0.2">
      <c r="Q135" s="30" t="s">
        <v>324</v>
      </c>
      <c r="R135" s="71" t="s">
        <v>101</v>
      </c>
      <c r="S135" s="75" t="str">
        <f t="shared" si="2"/>
        <v>AR_GARLAND</v>
      </c>
      <c r="AE135" s="30" t="s">
        <v>2666</v>
      </c>
    </row>
    <row r="136" spans="17:31" x14ac:dyDescent="0.2">
      <c r="Q136" s="31" t="s">
        <v>325</v>
      </c>
      <c r="R136" s="72" t="s">
        <v>101</v>
      </c>
      <c r="S136" s="75" t="str">
        <f t="shared" si="2"/>
        <v>AR_GRANT</v>
      </c>
      <c r="AE136" s="31" t="s">
        <v>2728</v>
      </c>
    </row>
    <row r="137" spans="17:31" x14ac:dyDescent="0.2">
      <c r="Q137" s="30" t="s">
        <v>228</v>
      </c>
      <c r="R137" s="71" t="s">
        <v>101</v>
      </c>
      <c r="S137" s="75" t="str">
        <f t="shared" si="2"/>
        <v>AR_GREENE</v>
      </c>
      <c r="AE137" s="30" t="s">
        <v>2737</v>
      </c>
    </row>
    <row r="138" spans="17:31" x14ac:dyDescent="0.2">
      <c r="Q138" s="31" t="s">
        <v>326</v>
      </c>
      <c r="R138" s="72" t="s">
        <v>101</v>
      </c>
      <c r="S138" s="75" t="str">
        <f t="shared" si="2"/>
        <v>AR_HEMPSTEAD</v>
      </c>
      <c r="AE138" s="31" t="s">
        <v>2729</v>
      </c>
    </row>
    <row r="139" spans="17:31" x14ac:dyDescent="0.2">
      <c r="Q139" s="30" t="s">
        <v>327</v>
      </c>
      <c r="R139" s="71" t="s">
        <v>101</v>
      </c>
      <c r="S139" s="75" t="str">
        <f t="shared" si="2"/>
        <v>AR_HOT SPRING</v>
      </c>
      <c r="AE139" s="30" t="s">
        <v>2730</v>
      </c>
    </row>
    <row r="140" spans="17:31" x14ac:dyDescent="0.2">
      <c r="Q140" s="31" t="s">
        <v>328</v>
      </c>
      <c r="R140" s="72" t="s">
        <v>101</v>
      </c>
      <c r="S140" s="75" t="str">
        <f t="shared" si="2"/>
        <v>AR_HOWARD</v>
      </c>
      <c r="AE140" s="31" t="s">
        <v>2758</v>
      </c>
    </row>
    <row r="141" spans="17:31" x14ac:dyDescent="0.2">
      <c r="Q141" s="30" t="s">
        <v>329</v>
      </c>
      <c r="R141" s="71" t="s">
        <v>101</v>
      </c>
      <c r="S141" s="75" t="str">
        <f t="shared" si="2"/>
        <v>AR_INDEPENDENCE</v>
      </c>
    </row>
    <row r="142" spans="17:31" x14ac:dyDescent="0.2">
      <c r="Q142" s="31" t="s">
        <v>330</v>
      </c>
      <c r="R142" s="72" t="s">
        <v>101</v>
      </c>
      <c r="S142" s="75" t="str">
        <f t="shared" si="2"/>
        <v>AR_IZARD</v>
      </c>
    </row>
    <row r="143" spans="17:31" x14ac:dyDescent="0.2">
      <c r="Q143" s="30" t="s">
        <v>232</v>
      </c>
      <c r="R143" s="71" t="s">
        <v>101</v>
      </c>
      <c r="S143" s="75" t="str">
        <f t="shared" si="2"/>
        <v>AR_JACKSON</v>
      </c>
    </row>
    <row r="144" spans="17:31" x14ac:dyDescent="0.2">
      <c r="Q144" s="31" t="s">
        <v>233</v>
      </c>
      <c r="R144" s="72" t="s">
        <v>101</v>
      </c>
      <c r="S144" s="75" t="str">
        <f t="shared" si="2"/>
        <v>AR_JEFFERSON</v>
      </c>
    </row>
    <row r="145" spans="17:19" x14ac:dyDescent="0.2">
      <c r="Q145" s="30" t="s">
        <v>331</v>
      </c>
      <c r="R145" s="71" t="s">
        <v>101</v>
      </c>
      <c r="S145" s="75" t="str">
        <f t="shared" si="2"/>
        <v>AR_JOHNSON</v>
      </c>
    </row>
    <row r="146" spans="17:19" x14ac:dyDescent="0.2">
      <c r="Q146" s="31" t="s">
        <v>332</v>
      </c>
      <c r="R146" s="72" t="s">
        <v>101</v>
      </c>
      <c r="S146" s="75" t="str">
        <f t="shared" si="2"/>
        <v>AR_LAFAYETTE</v>
      </c>
    </row>
    <row r="147" spans="17:19" x14ac:dyDescent="0.2">
      <c r="Q147" s="30" t="s">
        <v>236</v>
      </c>
      <c r="R147" s="71" t="s">
        <v>101</v>
      </c>
      <c r="S147" s="75" t="str">
        <f t="shared" si="2"/>
        <v>AR_LAWRENCE</v>
      </c>
    </row>
    <row r="148" spans="17:19" x14ac:dyDescent="0.2">
      <c r="Q148" s="31" t="s">
        <v>237</v>
      </c>
      <c r="R148" s="72" t="s">
        <v>101</v>
      </c>
      <c r="S148" s="75" t="str">
        <f t="shared" si="2"/>
        <v>AR_LEE</v>
      </c>
    </row>
    <row r="149" spans="17:19" x14ac:dyDescent="0.2">
      <c r="Q149" s="30" t="s">
        <v>333</v>
      </c>
      <c r="R149" s="71" t="s">
        <v>101</v>
      </c>
      <c r="S149" s="75" t="str">
        <f t="shared" si="2"/>
        <v>AR_LINCOLN</v>
      </c>
    </row>
    <row r="150" spans="17:19" x14ac:dyDescent="0.2">
      <c r="Q150" s="31" t="s">
        <v>334</v>
      </c>
      <c r="R150" s="72" t="s">
        <v>101</v>
      </c>
      <c r="S150" s="75" t="str">
        <f t="shared" si="2"/>
        <v>AR_LITTLE RIVER</v>
      </c>
    </row>
    <row r="151" spans="17:19" x14ac:dyDescent="0.2">
      <c r="Q151" s="30" t="s">
        <v>335</v>
      </c>
      <c r="R151" s="71" t="s">
        <v>101</v>
      </c>
      <c r="S151" s="75" t="str">
        <f t="shared" si="2"/>
        <v>AR_LOGAN</v>
      </c>
    </row>
    <row r="152" spans="17:19" x14ac:dyDescent="0.2">
      <c r="Q152" s="31" t="s">
        <v>336</v>
      </c>
      <c r="R152" s="72" t="s">
        <v>101</v>
      </c>
      <c r="S152" s="75" t="str">
        <f t="shared" si="2"/>
        <v>AR_LONOKE</v>
      </c>
    </row>
    <row r="153" spans="17:19" x14ac:dyDescent="0.2">
      <c r="Q153" s="30" t="s">
        <v>241</v>
      </c>
      <c r="R153" s="71" t="s">
        <v>101</v>
      </c>
      <c r="S153" s="75" t="str">
        <f t="shared" si="2"/>
        <v>AR_MADISON</v>
      </c>
    </row>
    <row r="154" spans="17:19" x14ac:dyDescent="0.2">
      <c r="Q154" s="31" t="s">
        <v>243</v>
      </c>
      <c r="R154" s="72" t="s">
        <v>101</v>
      </c>
      <c r="S154" s="75" t="str">
        <f t="shared" si="2"/>
        <v>AR_MARION</v>
      </c>
    </row>
    <row r="155" spans="17:19" x14ac:dyDescent="0.2">
      <c r="Q155" s="30" t="s">
        <v>337</v>
      </c>
      <c r="R155" s="71" t="s">
        <v>101</v>
      </c>
      <c r="S155" s="75" t="str">
        <f t="shared" si="2"/>
        <v>AR_MILLER</v>
      </c>
    </row>
    <row r="156" spans="17:19" x14ac:dyDescent="0.2">
      <c r="Q156" s="31" t="s">
        <v>338</v>
      </c>
      <c r="R156" s="72" t="s">
        <v>101</v>
      </c>
      <c r="S156" s="75" t="str">
        <f t="shared" si="2"/>
        <v>AR_MISSISSIPPI</v>
      </c>
    </row>
    <row r="157" spans="17:19" x14ac:dyDescent="0.2">
      <c r="Q157" s="30" t="s">
        <v>246</v>
      </c>
      <c r="R157" s="71" t="s">
        <v>101</v>
      </c>
      <c r="S157" s="75" t="str">
        <f t="shared" si="2"/>
        <v>AR_MONROE</v>
      </c>
    </row>
    <row r="158" spans="17:19" x14ac:dyDescent="0.2">
      <c r="Q158" s="31" t="s">
        <v>247</v>
      </c>
      <c r="R158" s="72" t="s">
        <v>101</v>
      </c>
      <c r="S158" s="75" t="str">
        <f t="shared" si="2"/>
        <v>AR_MONTGOMERY</v>
      </c>
    </row>
    <row r="159" spans="17:19" x14ac:dyDescent="0.2">
      <c r="Q159" s="30" t="s">
        <v>339</v>
      </c>
      <c r="R159" s="71" t="s">
        <v>101</v>
      </c>
      <c r="S159" s="75" t="str">
        <f t="shared" si="2"/>
        <v>AR_NEVADA</v>
      </c>
    </row>
    <row r="160" spans="17:19" x14ac:dyDescent="0.2">
      <c r="Q160" s="31" t="s">
        <v>340</v>
      </c>
      <c r="R160" s="72" t="s">
        <v>101</v>
      </c>
      <c r="S160" s="75" t="str">
        <f t="shared" si="2"/>
        <v>AR_NEWTON</v>
      </c>
    </row>
    <row r="161" spans="17:19" x14ac:dyDescent="0.2">
      <c r="Q161" s="30" t="s">
        <v>341</v>
      </c>
      <c r="R161" s="71" t="s">
        <v>101</v>
      </c>
      <c r="S161" s="75" t="str">
        <f t="shared" si="2"/>
        <v>AR_OUACHITA</v>
      </c>
    </row>
    <row r="162" spans="17:19" x14ac:dyDescent="0.2">
      <c r="Q162" s="31" t="s">
        <v>249</v>
      </c>
      <c r="R162" s="72" t="s">
        <v>101</v>
      </c>
      <c r="S162" s="75" t="str">
        <f t="shared" si="2"/>
        <v>AR_PERRY</v>
      </c>
    </row>
    <row r="163" spans="17:19" x14ac:dyDescent="0.2">
      <c r="Q163" s="30" t="s">
        <v>342</v>
      </c>
      <c r="R163" s="71" t="s">
        <v>101</v>
      </c>
      <c r="S163" s="75" t="str">
        <f t="shared" si="2"/>
        <v>AR_PHILLIPS</v>
      </c>
    </row>
    <row r="164" spans="17:19" x14ac:dyDescent="0.2">
      <c r="Q164" s="31" t="s">
        <v>251</v>
      </c>
      <c r="R164" s="72" t="s">
        <v>101</v>
      </c>
      <c r="S164" s="75" t="str">
        <f t="shared" si="2"/>
        <v>AR_PIKE</v>
      </c>
    </row>
    <row r="165" spans="17:19" x14ac:dyDescent="0.2">
      <c r="Q165" s="30" t="s">
        <v>343</v>
      </c>
      <c r="R165" s="71" t="s">
        <v>101</v>
      </c>
      <c r="S165" s="75" t="str">
        <f t="shared" si="2"/>
        <v>AR_POINSETT</v>
      </c>
    </row>
    <row r="166" spans="17:19" x14ac:dyDescent="0.2">
      <c r="Q166" s="31" t="s">
        <v>344</v>
      </c>
      <c r="R166" s="72" t="s">
        <v>101</v>
      </c>
      <c r="S166" s="75" t="str">
        <f t="shared" si="2"/>
        <v>AR_POLK</v>
      </c>
    </row>
    <row r="167" spans="17:19" x14ac:dyDescent="0.2">
      <c r="Q167" s="30" t="s">
        <v>345</v>
      </c>
      <c r="R167" s="71" t="s">
        <v>101</v>
      </c>
      <c r="S167" s="75" t="str">
        <f t="shared" si="2"/>
        <v>AR_POPE</v>
      </c>
    </row>
    <row r="168" spans="17:19" x14ac:dyDescent="0.2">
      <c r="Q168" s="31" t="s">
        <v>346</v>
      </c>
      <c r="R168" s="72" t="s">
        <v>101</v>
      </c>
      <c r="S168" s="75" t="str">
        <f t="shared" si="2"/>
        <v>AR_PRAIRIE</v>
      </c>
    </row>
    <row r="169" spans="17:19" x14ac:dyDescent="0.2">
      <c r="Q169" s="30" t="s">
        <v>347</v>
      </c>
      <c r="R169" s="71" t="s">
        <v>101</v>
      </c>
      <c r="S169" s="75" t="str">
        <f t="shared" si="2"/>
        <v>AR_PULASKI</v>
      </c>
    </row>
    <row r="170" spans="17:19" x14ac:dyDescent="0.2">
      <c r="Q170" s="31" t="s">
        <v>252</v>
      </c>
      <c r="R170" s="72" t="s">
        <v>101</v>
      </c>
      <c r="S170" s="75" t="str">
        <f t="shared" si="2"/>
        <v>AR_RANDOLPH</v>
      </c>
    </row>
    <row r="171" spans="17:19" x14ac:dyDescent="0.2">
      <c r="Q171" s="30" t="s">
        <v>348</v>
      </c>
      <c r="R171" s="71" t="s">
        <v>101</v>
      </c>
      <c r="S171" s="75" t="str">
        <f t="shared" si="2"/>
        <v>AR_ST. FRANCIS</v>
      </c>
    </row>
    <row r="172" spans="17:19" x14ac:dyDescent="0.2">
      <c r="Q172" s="31" t="s">
        <v>349</v>
      </c>
      <c r="R172" s="72" t="s">
        <v>101</v>
      </c>
      <c r="S172" s="75" t="str">
        <f t="shared" si="2"/>
        <v>AR_SALINE</v>
      </c>
    </row>
    <row r="173" spans="17:19" x14ac:dyDescent="0.2">
      <c r="Q173" s="30" t="s">
        <v>350</v>
      </c>
      <c r="R173" s="71" t="s">
        <v>101</v>
      </c>
      <c r="S173" s="75" t="str">
        <f t="shared" si="2"/>
        <v>AR_SCOTT</v>
      </c>
    </row>
    <row r="174" spans="17:19" x14ac:dyDescent="0.2">
      <c r="Q174" s="31" t="s">
        <v>351</v>
      </c>
      <c r="R174" s="72" t="s">
        <v>101</v>
      </c>
      <c r="S174" s="75" t="str">
        <f t="shared" si="2"/>
        <v>AR_SEARCY</v>
      </c>
    </row>
    <row r="175" spans="17:19" x14ac:dyDescent="0.2">
      <c r="Q175" s="30" t="s">
        <v>352</v>
      </c>
      <c r="R175" s="71" t="s">
        <v>101</v>
      </c>
      <c r="S175" s="75" t="str">
        <f t="shared" si="2"/>
        <v>AR_SEBASTIAN</v>
      </c>
    </row>
    <row r="176" spans="17:19" x14ac:dyDescent="0.2">
      <c r="Q176" s="31" t="s">
        <v>353</v>
      </c>
      <c r="R176" s="72" t="s">
        <v>101</v>
      </c>
      <c r="S176" s="75" t="str">
        <f t="shared" si="2"/>
        <v>AR_SEVIER</v>
      </c>
    </row>
    <row r="177" spans="17:19" x14ac:dyDescent="0.2">
      <c r="Q177" s="30" t="s">
        <v>354</v>
      </c>
      <c r="R177" s="71" t="s">
        <v>101</v>
      </c>
      <c r="S177" s="75" t="str">
        <f t="shared" si="2"/>
        <v>AR_SHARP</v>
      </c>
    </row>
    <row r="178" spans="17:19" x14ac:dyDescent="0.2">
      <c r="Q178" s="31" t="s">
        <v>355</v>
      </c>
      <c r="R178" s="72" t="s">
        <v>101</v>
      </c>
      <c r="S178" s="75" t="str">
        <f t="shared" si="2"/>
        <v>AR_STONE</v>
      </c>
    </row>
    <row r="179" spans="17:19" x14ac:dyDescent="0.2">
      <c r="Q179" s="30" t="s">
        <v>356</v>
      </c>
      <c r="R179" s="71" t="s">
        <v>101</v>
      </c>
      <c r="S179" s="75" t="str">
        <f t="shared" si="2"/>
        <v>AR_UNION</v>
      </c>
    </row>
    <row r="180" spans="17:19" x14ac:dyDescent="0.2">
      <c r="Q180" s="31" t="s">
        <v>357</v>
      </c>
      <c r="R180" s="72" t="s">
        <v>101</v>
      </c>
      <c r="S180" s="75" t="str">
        <f t="shared" si="2"/>
        <v>AR_VAN BUREN</v>
      </c>
    </row>
    <row r="181" spans="17:19" x14ac:dyDescent="0.2">
      <c r="Q181" s="30" t="s">
        <v>261</v>
      </c>
      <c r="R181" s="71" t="s">
        <v>101</v>
      </c>
      <c r="S181" s="75" t="str">
        <f t="shared" si="2"/>
        <v>AR_WASHINGTON</v>
      </c>
    </row>
    <row r="182" spans="17:19" x14ac:dyDescent="0.2">
      <c r="Q182" s="31" t="s">
        <v>358</v>
      </c>
      <c r="R182" s="72" t="s">
        <v>101</v>
      </c>
      <c r="S182" s="75" t="str">
        <f t="shared" si="2"/>
        <v>AR_WHITE</v>
      </c>
    </row>
    <row r="183" spans="17:19" x14ac:dyDescent="0.2">
      <c r="Q183" s="30" t="s">
        <v>359</v>
      </c>
      <c r="R183" s="71" t="s">
        <v>101</v>
      </c>
      <c r="S183" s="75" t="str">
        <f t="shared" si="2"/>
        <v>AR_WOODRUFF</v>
      </c>
    </row>
    <row r="184" spans="17:19" x14ac:dyDescent="0.2">
      <c r="Q184" s="31" t="s">
        <v>360</v>
      </c>
      <c r="R184" s="72" t="s">
        <v>101</v>
      </c>
      <c r="S184" s="75" t="str">
        <f t="shared" si="2"/>
        <v>AR_YELL</v>
      </c>
    </row>
    <row r="185" spans="17:19" x14ac:dyDescent="0.2">
      <c r="Q185" s="30" t="s">
        <v>361</v>
      </c>
      <c r="R185" s="71" t="s">
        <v>100</v>
      </c>
      <c r="S185" s="75" t="str">
        <f t="shared" si="2"/>
        <v>CA_ALAMEDA</v>
      </c>
    </row>
    <row r="186" spans="17:19" x14ac:dyDescent="0.2">
      <c r="Q186" s="31" t="s">
        <v>362</v>
      </c>
      <c r="R186" s="72" t="s">
        <v>100</v>
      </c>
      <c r="S186" s="75" t="str">
        <f t="shared" si="2"/>
        <v>CA_ALPINE</v>
      </c>
    </row>
    <row r="187" spans="17:19" x14ac:dyDescent="0.2">
      <c r="Q187" s="30" t="s">
        <v>363</v>
      </c>
      <c r="R187" s="71" t="s">
        <v>100</v>
      </c>
      <c r="S187" s="75" t="str">
        <f t="shared" si="2"/>
        <v>CA_AMADOR</v>
      </c>
    </row>
    <row r="188" spans="17:19" x14ac:dyDescent="0.2">
      <c r="Q188" s="31" t="s">
        <v>364</v>
      </c>
      <c r="R188" s="72" t="s">
        <v>100</v>
      </c>
      <c r="S188" s="75" t="str">
        <f t="shared" si="2"/>
        <v>CA_BUTTE</v>
      </c>
    </row>
    <row r="189" spans="17:19" x14ac:dyDescent="0.2">
      <c r="Q189" s="30" t="s">
        <v>365</v>
      </c>
      <c r="R189" s="71" t="s">
        <v>100</v>
      </c>
      <c r="S189" s="75" t="str">
        <f t="shared" si="2"/>
        <v>CA_CALAVERAS</v>
      </c>
    </row>
    <row r="190" spans="17:19" x14ac:dyDescent="0.2">
      <c r="Q190" s="31" t="s">
        <v>366</v>
      </c>
      <c r="R190" s="72" t="s">
        <v>100</v>
      </c>
      <c r="S190" s="75" t="str">
        <f t="shared" si="2"/>
        <v>CA_COLUSA</v>
      </c>
    </row>
    <row r="191" spans="17:19" x14ac:dyDescent="0.2">
      <c r="Q191" s="30" t="s">
        <v>367</v>
      </c>
      <c r="R191" s="71" t="s">
        <v>100</v>
      </c>
      <c r="S191" s="75" t="str">
        <f t="shared" si="2"/>
        <v>CA_CONTRA COSTA</v>
      </c>
    </row>
    <row r="192" spans="17:19" x14ac:dyDescent="0.2">
      <c r="Q192" s="31" t="s">
        <v>368</v>
      </c>
      <c r="R192" s="72" t="s">
        <v>100</v>
      </c>
      <c r="S192" s="75" t="str">
        <f t="shared" si="2"/>
        <v>CA_DEL NORTE</v>
      </c>
    </row>
    <row r="193" spans="17:19" x14ac:dyDescent="0.2">
      <c r="Q193" s="30" t="s">
        <v>369</v>
      </c>
      <c r="R193" s="71" t="s">
        <v>100</v>
      </c>
      <c r="S193" s="75" t="str">
        <f t="shared" si="2"/>
        <v>CA_EL DORADO</v>
      </c>
    </row>
    <row r="194" spans="17:19" x14ac:dyDescent="0.2">
      <c r="Q194" s="31" t="s">
        <v>370</v>
      </c>
      <c r="R194" s="72" t="s">
        <v>100</v>
      </c>
      <c r="S194" s="75" t="str">
        <f t="shared" si="2"/>
        <v>CA_FRESNO</v>
      </c>
    </row>
    <row r="195" spans="17:19" x14ac:dyDescent="0.2">
      <c r="Q195" s="30" t="s">
        <v>371</v>
      </c>
      <c r="R195" s="71" t="s">
        <v>100</v>
      </c>
      <c r="S195" s="75" t="str">
        <f t="shared" si="2"/>
        <v>CA_GLENN</v>
      </c>
    </row>
    <row r="196" spans="17:19" x14ac:dyDescent="0.2">
      <c r="Q196" s="31" t="s">
        <v>372</v>
      </c>
      <c r="R196" s="72" t="s">
        <v>100</v>
      </c>
      <c r="S196" s="75" t="str">
        <f t="shared" ref="S196:S259" si="3">UPPER(CONCATENATE(TRIM(R196),"_",TRIM(Q196)))</f>
        <v>CA_HUMBOLDT</v>
      </c>
    </row>
    <row r="197" spans="17:19" x14ac:dyDescent="0.2">
      <c r="Q197" s="30" t="s">
        <v>373</v>
      </c>
      <c r="R197" s="71" t="s">
        <v>100</v>
      </c>
      <c r="S197" s="75" t="str">
        <f t="shared" si="3"/>
        <v>CA_IMPERIAL</v>
      </c>
    </row>
    <row r="198" spans="17:19" x14ac:dyDescent="0.2">
      <c r="Q198" s="31" t="s">
        <v>374</v>
      </c>
      <c r="R198" s="72" t="s">
        <v>100</v>
      </c>
      <c r="S198" s="75" t="str">
        <f t="shared" si="3"/>
        <v>CA_INYO</v>
      </c>
    </row>
    <row r="199" spans="17:19" x14ac:dyDescent="0.2">
      <c r="Q199" s="30" t="s">
        <v>375</v>
      </c>
      <c r="R199" s="71" t="s">
        <v>100</v>
      </c>
      <c r="S199" s="75" t="str">
        <f t="shared" si="3"/>
        <v>CA_KERN</v>
      </c>
    </row>
    <row r="200" spans="17:19" x14ac:dyDescent="0.2">
      <c r="Q200" s="31" t="s">
        <v>376</v>
      </c>
      <c r="R200" s="72" t="s">
        <v>100</v>
      </c>
      <c r="S200" s="75" t="str">
        <f t="shared" si="3"/>
        <v>CA_KINGS</v>
      </c>
    </row>
    <row r="201" spans="17:19" x14ac:dyDescent="0.2">
      <c r="Q201" s="30" t="s">
        <v>377</v>
      </c>
      <c r="R201" s="71" t="s">
        <v>100</v>
      </c>
      <c r="S201" s="75" t="str">
        <f t="shared" si="3"/>
        <v>CA_LAKE</v>
      </c>
    </row>
    <row r="202" spans="17:19" x14ac:dyDescent="0.2">
      <c r="Q202" s="31" t="s">
        <v>378</v>
      </c>
      <c r="R202" s="72" t="s">
        <v>100</v>
      </c>
      <c r="S202" s="75" t="str">
        <f t="shared" si="3"/>
        <v>CA_LASSEN</v>
      </c>
    </row>
    <row r="203" spans="17:19" x14ac:dyDescent="0.2">
      <c r="Q203" s="30" t="s">
        <v>379</v>
      </c>
      <c r="R203" s="71" t="s">
        <v>100</v>
      </c>
      <c r="S203" s="75" t="str">
        <f t="shared" si="3"/>
        <v>CA_LOS ANGELES</v>
      </c>
    </row>
    <row r="204" spans="17:19" x14ac:dyDescent="0.2">
      <c r="Q204" s="31" t="s">
        <v>380</v>
      </c>
      <c r="R204" s="72" t="s">
        <v>100</v>
      </c>
      <c r="S204" s="75" t="str">
        <f t="shared" si="3"/>
        <v>CA_MADERA</v>
      </c>
    </row>
    <row r="205" spans="17:19" x14ac:dyDescent="0.2">
      <c r="Q205" s="30" t="s">
        <v>381</v>
      </c>
      <c r="R205" s="71" t="s">
        <v>100</v>
      </c>
      <c r="S205" s="75" t="str">
        <f t="shared" si="3"/>
        <v>CA_MARIN</v>
      </c>
    </row>
    <row r="206" spans="17:19" x14ac:dyDescent="0.2">
      <c r="Q206" s="31" t="s">
        <v>382</v>
      </c>
      <c r="R206" s="72" t="s">
        <v>100</v>
      </c>
      <c r="S206" s="75" t="str">
        <f t="shared" si="3"/>
        <v>CA_MARIPOSA</v>
      </c>
    </row>
    <row r="207" spans="17:19" x14ac:dyDescent="0.2">
      <c r="Q207" s="30" t="s">
        <v>383</v>
      </c>
      <c r="R207" s="71" t="s">
        <v>100</v>
      </c>
      <c r="S207" s="75" t="str">
        <f t="shared" si="3"/>
        <v>CA_MENDOCINO</v>
      </c>
    </row>
    <row r="208" spans="17:19" x14ac:dyDescent="0.2">
      <c r="Q208" s="31" t="s">
        <v>384</v>
      </c>
      <c r="R208" s="72" t="s">
        <v>100</v>
      </c>
      <c r="S208" s="75" t="str">
        <f t="shared" si="3"/>
        <v>CA_MERCED</v>
      </c>
    </row>
    <row r="209" spans="17:19" x14ac:dyDescent="0.2">
      <c r="Q209" s="30" t="s">
        <v>385</v>
      </c>
      <c r="R209" s="71" t="s">
        <v>100</v>
      </c>
      <c r="S209" s="75" t="str">
        <f t="shared" si="3"/>
        <v>CA_MODOC</v>
      </c>
    </row>
    <row r="210" spans="17:19" x14ac:dyDescent="0.2">
      <c r="Q210" s="31" t="s">
        <v>386</v>
      </c>
      <c r="R210" s="72" t="s">
        <v>100</v>
      </c>
      <c r="S210" s="75" t="str">
        <f t="shared" si="3"/>
        <v>CA_MONO</v>
      </c>
    </row>
    <row r="211" spans="17:19" x14ac:dyDescent="0.2">
      <c r="Q211" s="30" t="s">
        <v>387</v>
      </c>
      <c r="R211" s="71" t="s">
        <v>100</v>
      </c>
      <c r="S211" s="75" t="str">
        <f t="shared" si="3"/>
        <v>CA_MONTEREY</v>
      </c>
    </row>
    <row r="212" spans="17:19" x14ac:dyDescent="0.2">
      <c r="Q212" s="31" t="s">
        <v>388</v>
      </c>
      <c r="R212" s="72" t="s">
        <v>100</v>
      </c>
      <c r="S212" s="75" t="str">
        <f t="shared" si="3"/>
        <v>CA_NAPA</v>
      </c>
    </row>
    <row r="213" spans="17:19" x14ac:dyDescent="0.2">
      <c r="Q213" s="30" t="s">
        <v>339</v>
      </c>
      <c r="R213" s="71" t="s">
        <v>100</v>
      </c>
      <c r="S213" s="75" t="str">
        <f t="shared" si="3"/>
        <v>CA_NEVADA</v>
      </c>
    </row>
    <row r="214" spans="17:19" x14ac:dyDescent="0.2">
      <c r="Q214" s="31" t="s">
        <v>389</v>
      </c>
      <c r="R214" s="72" t="s">
        <v>100</v>
      </c>
      <c r="S214" s="75" t="str">
        <f t="shared" si="3"/>
        <v>CA_ORANGE</v>
      </c>
    </row>
    <row r="215" spans="17:19" x14ac:dyDescent="0.2">
      <c r="Q215" s="30" t="s">
        <v>390</v>
      </c>
      <c r="R215" s="71" t="s">
        <v>100</v>
      </c>
      <c r="S215" s="75" t="str">
        <f t="shared" si="3"/>
        <v>CA_PLACER</v>
      </c>
    </row>
    <row r="216" spans="17:19" x14ac:dyDescent="0.2">
      <c r="Q216" s="31" t="s">
        <v>391</v>
      </c>
      <c r="R216" s="72" t="s">
        <v>100</v>
      </c>
      <c r="S216" s="75" t="str">
        <f t="shared" si="3"/>
        <v>CA_PLUMAS</v>
      </c>
    </row>
    <row r="217" spans="17:19" x14ac:dyDescent="0.2">
      <c r="Q217" s="30" t="s">
        <v>392</v>
      </c>
      <c r="R217" s="71" t="s">
        <v>100</v>
      </c>
      <c r="S217" s="75" t="str">
        <f t="shared" si="3"/>
        <v>CA_RIVERSIDE</v>
      </c>
    </row>
    <row r="218" spans="17:19" x14ac:dyDescent="0.2">
      <c r="Q218" s="31" t="s">
        <v>393</v>
      </c>
      <c r="R218" s="72" t="s">
        <v>100</v>
      </c>
      <c r="S218" s="75" t="str">
        <f t="shared" si="3"/>
        <v>CA_SACRAMENTO</v>
      </c>
    </row>
    <row r="219" spans="17:19" x14ac:dyDescent="0.2">
      <c r="Q219" s="30" t="s">
        <v>394</v>
      </c>
      <c r="R219" s="71" t="s">
        <v>100</v>
      </c>
      <c r="S219" s="75" t="str">
        <f t="shared" si="3"/>
        <v>CA_SAN BENITO</v>
      </c>
    </row>
    <row r="220" spans="17:19" x14ac:dyDescent="0.2">
      <c r="Q220" s="31" t="s">
        <v>395</v>
      </c>
      <c r="R220" s="72" t="s">
        <v>100</v>
      </c>
      <c r="S220" s="75" t="str">
        <f t="shared" si="3"/>
        <v>CA_SAN BERNARDINO</v>
      </c>
    </row>
    <row r="221" spans="17:19" x14ac:dyDescent="0.2">
      <c r="Q221" s="30" t="s">
        <v>396</v>
      </c>
      <c r="R221" s="71" t="s">
        <v>100</v>
      </c>
      <c r="S221" s="75" t="str">
        <f t="shared" si="3"/>
        <v>CA_SAN DIEGO</v>
      </c>
    </row>
    <row r="222" spans="17:19" x14ac:dyDescent="0.2">
      <c r="Q222" s="31" t="s">
        <v>397</v>
      </c>
      <c r="R222" s="72" t="s">
        <v>100</v>
      </c>
      <c r="S222" s="75" t="str">
        <f t="shared" si="3"/>
        <v>CA_SAN FRANCISCO</v>
      </c>
    </row>
    <row r="223" spans="17:19" x14ac:dyDescent="0.2">
      <c r="Q223" s="30" t="s">
        <v>398</v>
      </c>
      <c r="R223" s="71" t="s">
        <v>100</v>
      </c>
      <c r="S223" s="75" t="str">
        <f t="shared" si="3"/>
        <v>CA_SAN JOAQUIN</v>
      </c>
    </row>
    <row r="224" spans="17:19" x14ac:dyDescent="0.2">
      <c r="Q224" s="31" t="s">
        <v>399</v>
      </c>
      <c r="R224" s="72" t="s">
        <v>100</v>
      </c>
      <c r="S224" s="75" t="str">
        <f t="shared" si="3"/>
        <v>CA_SAN LUIS OBISPO</v>
      </c>
    </row>
    <row r="225" spans="17:19" x14ac:dyDescent="0.2">
      <c r="Q225" s="30" t="s">
        <v>400</v>
      </c>
      <c r="R225" s="71" t="s">
        <v>100</v>
      </c>
      <c r="S225" s="75" t="str">
        <f t="shared" si="3"/>
        <v>CA_SAN MATEO</v>
      </c>
    </row>
    <row r="226" spans="17:19" x14ac:dyDescent="0.2">
      <c r="Q226" s="31" t="s">
        <v>401</v>
      </c>
      <c r="R226" s="72" t="s">
        <v>100</v>
      </c>
      <c r="S226" s="75" t="str">
        <f t="shared" si="3"/>
        <v>CA_SANTA BARBARA</v>
      </c>
    </row>
    <row r="227" spans="17:19" x14ac:dyDescent="0.2">
      <c r="Q227" s="30" t="s">
        <v>402</v>
      </c>
      <c r="R227" s="71" t="s">
        <v>100</v>
      </c>
      <c r="S227" s="75" t="str">
        <f t="shared" si="3"/>
        <v>CA_SANTA CLARA</v>
      </c>
    </row>
    <row r="228" spans="17:19" x14ac:dyDescent="0.2">
      <c r="Q228" s="31" t="s">
        <v>301</v>
      </c>
      <c r="R228" s="72" t="s">
        <v>100</v>
      </c>
      <c r="S228" s="75" t="str">
        <f t="shared" si="3"/>
        <v>CA_SANTA CRUZ</v>
      </c>
    </row>
    <row r="229" spans="17:19" x14ac:dyDescent="0.2">
      <c r="Q229" s="30" t="s">
        <v>403</v>
      </c>
      <c r="R229" s="71" t="s">
        <v>100</v>
      </c>
      <c r="S229" s="75" t="str">
        <f t="shared" si="3"/>
        <v>CA_SHASTA</v>
      </c>
    </row>
    <row r="230" spans="17:19" x14ac:dyDescent="0.2">
      <c r="Q230" s="31" t="s">
        <v>404</v>
      </c>
      <c r="R230" s="72" t="s">
        <v>100</v>
      </c>
      <c r="S230" s="75" t="str">
        <f t="shared" si="3"/>
        <v>CA_SIERRA</v>
      </c>
    </row>
    <row r="231" spans="17:19" x14ac:dyDescent="0.2">
      <c r="Q231" s="30" t="s">
        <v>405</v>
      </c>
      <c r="R231" s="71" t="s">
        <v>100</v>
      </c>
      <c r="S231" s="75" t="str">
        <f t="shared" si="3"/>
        <v>CA_SISKIYOU</v>
      </c>
    </row>
    <row r="232" spans="17:19" x14ac:dyDescent="0.2">
      <c r="Q232" s="31" t="s">
        <v>406</v>
      </c>
      <c r="R232" s="72" t="s">
        <v>100</v>
      </c>
      <c r="S232" s="75" t="str">
        <f t="shared" si="3"/>
        <v>CA_SOLANO</v>
      </c>
    </row>
    <row r="233" spans="17:19" x14ac:dyDescent="0.2">
      <c r="Q233" s="30" t="s">
        <v>407</v>
      </c>
      <c r="R233" s="71" t="s">
        <v>100</v>
      </c>
      <c r="S233" s="75" t="str">
        <f t="shared" si="3"/>
        <v>CA_SONOMA</v>
      </c>
    </row>
    <row r="234" spans="17:19" x14ac:dyDescent="0.2">
      <c r="Q234" s="31" t="s">
        <v>408</v>
      </c>
      <c r="R234" s="72" t="s">
        <v>100</v>
      </c>
      <c r="S234" s="75" t="str">
        <f t="shared" si="3"/>
        <v>CA_STANISLAUS</v>
      </c>
    </row>
    <row r="235" spans="17:19" x14ac:dyDescent="0.2">
      <c r="Q235" s="30" t="s">
        <v>409</v>
      </c>
      <c r="R235" s="71" t="s">
        <v>100</v>
      </c>
      <c r="S235" s="75" t="str">
        <f t="shared" si="3"/>
        <v>CA_SUTTER</v>
      </c>
    </row>
    <row r="236" spans="17:19" x14ac:dyDescent="0.2">
      <c r="Q236" s="31" t="s">
        <v>410</v>
      </c>
      <c r="R236" s="72" t="s">
        <v>100</v>
      </c>
      <c r="S236" s="75" t="str">
        <f t="shared" si="3"/>
        <v>CA_TEHAMA</v>
      </c>
    </row>
    <row r="237" spans="17:19" x14ac:dyDescent="0.2">
      <c r="Q237" s="30" t="s">
        <v>411</v>
      </c>
      <c r="R237" s="71" t="s">
        <v>100</v>
      </c>
      <c r="S237" s="75" t="str">
        <f t="shared" si="3"/>
        <v>CA_TRINITY</v>
      </c>
    </row>
    <row r="238" spans="17:19" x14ac:dyDescent="0.2">
      <c r="Q238" s="31" t="s">
        <v>412</v>
      </c>
      <c r="R238" s="72" t="s">
        <v>100</v>
      </c>
      <c r="S238" s="75" t="str">
        <f t="shared" si="3"/>
        <v>CA_TULARE</v>
      </c>
    </row>
    <row r="239" spans="17:19" x14ac:dyDescent="0.2">
      <c r="Q239" s="30" t="s">
        <v>413</v>
      </c>
      <c r="R239" s="71" t="s">
        <v>100</v>
      </c>
      <c r="S239" s="75" t="str">
        <f t="shared" si="3"/>
        <v>CA_TUOLUMNE</v>
      </c>
    </row>
    <row r="240" spans="17:19" x14ac:dyDescent="0.2">
      <c r="Q240" s="31" t="s">
        <v>414</v>
      </c>
      <c r="R240" s="72" t="s">
        <v>100</v>
      </c>
      <c r="S240" s="75" t="str">
        <f t="shared" si="3"/>
        <v>CA_VENTURA</v>
      </c>
    </row>
    <row r="241" spans="17:19" x14ac:dyDescent="0.2">
      <c r="Q241" s="30" t="s">
        <v>415</v>
      </c>
      <c r="R241" s="71" t="s">
        <v>100</v>
      </c>
      <c r="S241" s="75" t="str">
        <f t="shared" si="3"/>
        <v>CA_YOLO</v>
      </c>
    </row>
    <row r="242" spans="17:19" x14ac:dyDescent="0.2">
      <c r="Q242" s="31" t="s">
        <v>416</v>
      </c>
      <c r="R242" s="72" t="s">
        <v>100</v>
      </c>
      <c r="S242" s="75" t="str">
        <f t="shared" si="3"/>
        <v>CA_YUBA</v>
      </c>
    </row>
    <row r="243" spans="17:19" x14ac:dyDescent="0.2">
      <c r="Q243" s="30" t="s">
        <v>417</v>
      </c>
      <c r="R243" s="71" t="s">
        <v>99</v>
      </c>
      <c r="S243" s="75" t="str">
        <f t="shared" si="3"/>
        <v>CO_ADAMS</v>
      </c>
    </row>
    <row r="244" spans="17:19" x14ac:dyDescent="0.2">
      <c r="Q244" s="31" t="s">
        <v>418</v>
      </c>
      <c r="R244" s="72" t="s">
        <v>99</v>
      </c>
      <c r="S244" s="75" t="str">
        <f t="shared" si="3"/>
        <v>CO_ALAMOSA</v>
      </c>
    </row>
    <row r="245" spans="17:19" x14ac:dyDescent="0.2">
      <c r="Q245" s="30" t="s">
        <v>419</v>
      </c>
      <c r="R245" s="71" t="s">
        <v>99</v>
      </c>
      <c r="S245" s="75" t="str">
        <f t="shared" si="3"/>
        <v>CO_ARAPAHOE</v>
      </c>
    </row>
    <row r="246" spans="17:19" x14ac:dyDescent="0.2">
      <c r="Q246" s="31" t="s">
        <v>420</v>
      </c>
      <c r="R246" s="72" t="s">
        <v>99</v>
      </c>
      <c r="S246" s="75" t="str">
        <f t="shared" si="3"/>
        <v>CO_ARCHULETA</v>
      </c>
    </row>
    <row r="247" spans="17:19" x14ac:dyDescent="0.2">
      <c r="Q247" s="30" t="s">
        <v>421</v>
      </c>
      <c r="R247" s="71" t="s">
        <v>99</v>
      </c>
      <c r="S247" s="75" t="str">
        <f t="shared" si="3"/>
        <v>CO_BACA</v>
      </c>
    </row>
    <row r="248" spans="17:19" x14ac:dyDescent="0.2">
      <c r="Q248" s="31" t="s">
        <v>422</v>
      </c>
      <c r="R248" s="72" t="s">
        <v>99</v>
      </c>
      <c r="S248" s="75" t="str">
        <f t="shared" si="3"/>
        <v>CO_BENT</v>
      </c>
    </row>
    <row r="249" spans="17:19" x14ac:dyDescent="0.2">
      <c r="Q249" s="30" t="s">
        <v>423</v>
      </c>
      <c r="R249" s="71" t="s">
        <v>99</v>
      </c>
      <c r="S249" s="75" t="str">
        <f t="shared" si="3"/>
        <v>CO_BOULDER</v>
      </c>
    </row>
    <row r="250" spans="17:19" x14ac:dyDescent="0.2">
      <c r="Q250" s="31" t="s">
        <v>424</v>
      </c>
      <c r="R250" s="72" t="s">
        <v>99</v>
      </c>
      <c r="S250" s="75" t="str">
        <f t="shared" si="3"/>
        <v>CO_CHAFFEE</v>
      </c>
    </row>
    <row r="251" spans="17:19" x14ac:dyDescent="0.2">
      <c r="Q251" s="30" t="s">
        <v>425</v>
      </c>
      <c r="R251" s="71" t="s">
        <v>99</v>
      </c>
      <c r="S251" s="75" t="str">
        <f t="shared" si="3"/>
        <v>CO_CHEYENNE</v>
      </c>
    </row>
    <row r="252" spans="17:19" x14ac:dyDescent="0.2">
      <c r="Q252" s="31" t="s">
        <v>426</v>
      </c>
      <c r="R252" s="72" t="s">
        <v>99</v>
      </c>
      <c r="S252" s="75" t="str">
        <f t="shared" si="3"/>
        <v>CO_CLEAR CREEK</v>
      </c>
    </row>
    <row r="253" spans="17:19" x14ac:dyDescent="0.2">
      <c r="Q253" s="30" t="s">
        <v>427</v>
      </c>
      <c r="R253" s="71" t="s">
        <v>99</v>
      </c>
      <c r="S253" s="75" t="str">
        <f t="shared" si="3"/>
        <v>CO_CONEJOS</v>
      </c>
    </row>
    <row r="254" spans="17:19" x14ac:dyDescent="0.2">
      <c r="Q254" s="31" t="s">
        <v>428</v>
      </c>
      <c r="R254" s="72" t="s">
        <v>99</v>
      </c>
      <c r="S254" s="75" t="str">
        <f t="shared" si="3"/>
        <v>CO_COSTILLA</v>
      </c>
    </row>
    <row r="255" spans="17:19" x14ac:dyDescent="0.2">
      <c r="Q255" s="30" t="s">
        <v>429</v>
      </c>
      <c r="R255" s="71" t="s">
        <v>99</v>
      </c>
      <c r="S255" s="75" t="str">
        <f t="shared" si="3"/>
        <v>CO_CROWLEY</v>
      </c>
    </row>
    <row r="256" spans="17:19" x14ac:dyDescent="0.2">
      <c r="Q256" s="31" t="s">
        <v>430</v>
      </c>
      <c r="R256" s="72" t="s">
        <v>99</v>
      </c>
      <c r="S256" s="75" t="str">
        <f t="shared" si="3"/>
        <v>CO_CUSTER</v>
      </c>
    </row>
    <row r="257" spans="17:19" x14ac:dyDescent="0.2">
      <c r="Q257" s="30" t="s">
        <v>431</v>
      </c>
      <c r="R257" s="71" t="s">
        <v>99</v>
      </c>
      <c r="S257" s="75" t="str">
        <f t="shared" si="3"/>
        <v>CO_DELTA</v>
      </c>
    </row>
    <row r="258" spans="17:19" x14ac:dyDescent="0.2">
      <c r="Q258" s="31" t="s">
        <v>432</v>
      </c>
      <c r="R258" s="72" t="s">
        <v>99</v>
      </c>
      <c r="S258" s="75" t="str">
        <f t="shared" si="3"/>
        <v>CO_DENVER</v>
      </c>
    </row>
    <row r="259" spans="17:19" x14ac:dyDescent="0.2">
      <c r="Q259" s="30" t="s">
        <v>433</v>
      </c>
      <c r="R259" s="71" t="s">
        <v>99</v>
      </c>
      <c r="S259" s="75" t="str">
        <f t="shared" si="3"/>
        <v>CO_DOLORES</v>
      </c>
    </row>
    <row r="260" spans="17:19" x14ac:dyDescent="0.2">
      <c r="Q260" s="31" t="s">
        <v>434</v>
      </c>
      <c r="R260" s="72" t="s">
        <v>99</v>
      </c>
      <c r="S260" s="75" t="str">
        <f t="shared" ref="S260:S323" si="4">UPPER(CONCATENATE(TRIM(R260),"_",TRIM(Q260)))</f>
        <v>CO_DOUGLAS</v>
      </c>
    </row>
    <row r="261" spans="17:19" x14ac:dyDescent="0.2">
      <c r="Q261" s="30" t="s">
        <v>435</v>
      </c>
      <c r="R261" s="71" t="s">
        <v>99</v>
      </c>
      <c r="S261" s="75" t="str">
        <f t="shared" si="4"/>
        <v>CO_EAGLE</v>
      </c>
    </row>
    <row r="262" spans="17:19" x14ac:dyDescent="0.2">
      <c r="Q262" s="31" t="s">
        <v>436</v>
      </c>
      <c r="R262" s="72" t="s">
        <v>99</v>
      </c>
      <c r="S262" s="75" t="str">
        <f t="shared" si="4"/>
        <v>CO_ELBERT</v>
      </c>
    </row>
    <row r="263" spans="17:19" x14ac:dyDescent="0.2">
      <c r="Q263" s="30" t="s">
        <v>437</v>
      </c>
      <c r="R263" s="71" t="s">
        <v>99</v>
      </c>
      <c r="S263" s="75" t="str">
        <f t="shared" si="4"/>
        <v>CO_EL PASO</v>
      </c>
    </row>
    <row r="264" spans="17:19" x14ac:dyDescent="0.2">
      <c r="Q264" s="31" t="s">
        <v>438</v>
      </c>
      <c r="R264" s="72" t="s">
        <v>99</v>
      </c>
      <c r="S264" s="75" t="str">
        <f t="shared" si="4"/>
        <v>CO_FREMONT</v>
      </c>
    </row>
    <row r="265" spans="17:19" x14ac:dyDescent="0.2">
      <c r="Q265" s="30" t="s">
        <v>439</v>
      </c>
      <c r="R265" s="71" t="s">
        <v>99</v>
      </c>
      <c r="S265" s="75" t="str">
        <f t="shared" si="4"/>
        <v>CO_GARFIELD</v>
      </c>
    </row>
    <row r="266" spans="17:19" x14ac:dyDescent="0.2">
      <c r="Q266" s="31" t="s">
        <v>440</v>
      </c>
      <c r="R266" s="72" t="s">
        <v>99</v>
      </c>
      <c r="S266" s="75" t="str">
        <f t="shared" si="4"/>
        <v>CO_GILPIN</v>
      </c>
    </row>
    <row r="267" spans="17:19" x14ac:dyDescent="0.2">
      <c r="Q267" s="30" t="s">
        <v>441</v>
      </c>
      <c r="R267" s="71" t="s">
        <v>99</v>
      </c>
      <c r="S267" s="75" t="str">
        <f t="shared" si="4"/>
        <v>CO_GRAND</v>
      </c>
    </row>
    <row r="268" spans="17:19" x14ac:dyDescent="0.2">
      <c r="Q268" s="31" t="s">
        <v>442</v>
      </c>
      <c r="R268" s="72" t="s">
        <v>99</v>
      </c>
      <c r="S268" s="75" t="str">
        <f t="shared" si="4"/>
        <v>CO_GUNNISON</v>
      </c>
    </row>
    <row r="269" spans="17:19" x14ac:dyDescent="0.2">
      <c r="Q269" s="30" t="s">
        <v>443</v>
      </c>
      <c r="R269" s="71" t="s">
        <v>99</v>
      </c>
      <c r="S269" s="75" t="str">
        <f t="shared" si="4"/>
        <v>CO_HINSDALE</v>
      </c>
    </row>
    <row r="270" spans="17:19" x14ac:dyDescent="0.2">
      <c r="Q270" s="31" t="s">
        <v>444</v>
      </c>
      <c r="R270" s="72" t="s">
        <v>99</v>
      </c>
      <c r="S270" s="75" t="str">
        <f t="shared" si="4"/>
        <v>CO_HUERFANO</v>
      </c>
    </row>
    <row r="271" spans="17:19" x14ac:dyDescent="0.2">
      <c r="Q271" s="30" t="s">
        <v>232</v>
      </c>
      <c r="R271" s="71" t="s">
        <v>99</v>
      </c>
      <c r="S271" s="75" t="str">
        <f t="shared" si="4"/>
        <v>CO_JACKSON</v>
      </c>
    </row>
    <row r="272" spans="17:19" x14ac:dyDescent="0.2">
      <c r="Q272" s="31" t="s">
        <v>233</v>
      </c>
      <c r="R272" s="72" t="s">
        <v>99</v>
      </c>
      <c r="S272" s="75" t="str">
        <f t="shared" si="4"/>
        <v>CO_JEFFERSON</v>
      </c>
    </row>
    <row r="273" spans="17:19" x14ac:dyDescent="0.2">
      <c r="Q273" s="30" t="s">
        <v>445</v>
      </c>
      <c r="R273" s="71" t="s">
        <v>99</v>
      </c>
      <c r="S273" s="75" t="str">
        <f t="shared" si="4"/>
        <v>CO_KIOWA</v>
      </c>
    </row>
    <row r="274" spans="17:19" x14ac:dyDescent="0.2">
      <c r="Q274" s="31" t="s">
        <v>446</v>
      </c>
      <c r="R274" s="72" t="s">
        <v>99</v>
      </c>
      <c r="S274" s="75" t="str">
        <f t="shared" si="4"/>
        <v>CO_KIT CARSON</v>
      </c>
    </row>
    <row r="275" spans="17:19" x14ac:dyDescent="0.2">
      <c r="Q275" s="30" t="s">
        <v>377</v>
      </c>
      <c r="R275" s="71" t="s">
        <v>99</v>
      </c>
      <c r="S275" s="75" t="str">
        <f t="shared" si="4"/>
        <v>CO_LAKE</v>
      </c>
    </row>
    <row r="276" spans="17:19" x14ac:dyDescent="0.2">
      <c r="Q276" s="31" t="s">
        <v>447</v>
      </c>
      <c r="R276" s="72" t="s">
        <v>99</v>
      </c>
      <c r="S276" s="75" t="str">
        <f t="shared" si="4"/>
        <v>CO_LA PLATA</v>
      </c>
    </row>
    <row r="277" spans="17:19" x14ac:dyDescent="0.2">
      <c r="Q277" s="30" t="s">
        <v>448</v>
      </c>
      <c r="R277" s="71" t="s">
        <v>99</v>
      </c>
      <c r="S277" s="75" t="str">
        <f t="shared" si="4"/>
        <v>CO_LARIMER</v>
      </c>
    </row>
    <row r="278" spans="17:19" x14ac:dyDescent="0.2">
      <c r="Q278" s="31" t="s">
        <v>449</v>
      </c>
      <c r="R278" s="72" t="s">
        <v>99</v>
      </c>
      <c r="S278" s="75" t="str">
        <f t="shared" si="4"/>
        <v>CO_LAS ANIMAS</v>
      </c>
    </row>
    <row r="279" spans="17:19" x14ac:dyDescent="0.2">
      <c r="Q279" s="30" t="s">
        <v>333</v>
      </c>
      <c r="R279" s="71" t="s">
        <v>99</v>
      </c>
      <c r="S279" s="75" t="str">
        <f t="shared" si="4"/>
        <v>CO_LINCOLN</v>
      </c>
    </row>
    <row r="280" spans="17:19" x14ac:dyDescent="0.2">
      <c r="Q280" s="31" t="s">
        <v>335</v>
      </c>
      <c r="R280" s="72" t="s">
        <v>99</v>
      </c>
      <c r="S280" s="75" t="str">
        <f t="shared" si="4"/>
        <v>CO_LOGAN</v>
      </c>
    </row>
    <row r="281" spans="17:19" x14ac:dyDescent="0.2">
      <c r="Q281" s="30" t="s">
        <v>450</v>
      </c>
      <c r="R281" s="71" t="s">
        <v>99</v>
      </c>
      <c r="S281" s="75" t="str">
        <f t="shared" si="4"/>
        <v>CO_MESA</v>
      </c>
    </row>
    <row r="282" spans="17:19" x14ac:dyDescent="0.2">
      <c r="Q282" s="31" t="s">
        <v>451</v>
      </c>
      <c r="R282" s="72" t="s">
        <v>99</v>
      </c>
      <c r="S282" s="75" t="str">
        <f t="shared" si="4"/>
        <v>CO_MINERAL</v>
      </c>
    </row>
    <row r="283" spans="17:19" x14ac:dyDescent="0.2">
      <c r="Q283" s="30" t="s">
        <v>452</v>
      </c>
      <c r="R283" s="71" t="s">
        <v>99</v>
      </c>
      <c r="S283" s="75" t="str">
        <f t="shared" si="4"/>
        <v>CO_MOFFAT</v>
      </c>
    </row>
    <row r="284" spans="17:19" x14ac:dyDescent="0.2">
      <c r="Q284" s="31" t="s">
        <v>453</v>
      </c>
      <c r="R284" s="72" t="s">
        <v>99</v>
      </c>
      <c r="S284" s="75" t="str">
        <f t="shared" si="4"/>
        <v>CO_MONTEZUMA</v>
      </c>
    </row>
    <row r="285" spans="17:19" x14ac:dyDescent="0.2">
      <c r="Q285" s="30" t="s">
        <v>454</v>
      </c>
      <c r="R285" s="71" t="s">
        <v>99</v>
      </c>
      <c r="S285" s="75" t="str">
        <f t="shared" si="4"/>
        <v>CO_MONTROSE</v>
      </c>
    </row>
    <row r="286" spans="17:19" x14ac:dyDescent="0.2">
      <c r="Q286" s="31" t="s">
        <v>248</v>
      </c>
      <c r="R286" s="72" t="s">
        <v>99</v>
      </c>
      <c r="S286" s="75" t="str">
        <f t="shared" si="4"/>
        <v>CO_MORGAN</v>
      </c>
    </row>
    <row r="287" spans="17:19" x14ac:dyDescent="0.2">
      <c r="Q287" s="30" t="s">
        <v>455</v>
      </c>
      <c r="R287" s="71" t="s">
        <v>99</v>
      </c>
      <c r="S287" s="75" t="str">
        <f t="shared" si="4"/>
        <v>CO_OTERO</v>
      </c>
    </row>
    <row r="288" spans="17:19" x14ac:dyDescent="0.2">
      <c r="Q288" s="31" t="s">
        <v>456</v>
      </c>
      <c r="R288" s="72" t="s">
        <v>99</v>
      </c>
      <c r="S288" s="75" t="str">
        <f t="shared" si="4"/>
        <v>CO_OURAY</v>
      </c>
    </row>
    <row r="289" spans="17:19" x14ac:dyDescent="0.2">
      <c r="Q289" s="30" t="s">
        <v>457</v>
      </c>
      <c r="R289" s="71" t="s">
        <v>99</v>
      </c>
      <c r="S289" s="75" t="str">
        <f t="shared" si="4"/>
        <v>CO_PARK</v>
      </c>
    </row>
    <row r="290" spans="17:19" x14ac:dyDescent="0.2">
      <c r="Q290" s="31" t="s">
        <v>342</v>
      </c>
      <c r="R290" s="72" t="s">
        <v>99</v>
      </c>
      <c r="S290" s="75" t="str">
        <f t="shared" si="4"/>
        <v>CO_PHILLIPS</v>
      </c>
    </row>
    <row r="291" spans="17:19" x14ac:dyDescent="0.2">
      <c r="Q291" s="30" t="s">
        <v>458</v>
      </c>
      <c r="R291" s="71" t="s">
        <v>99</v>
      </c>
      <c r="S291" s="75" t="str">
        <f t="shared" si="4"/>
        <v>CO_PITKIN</v>
      </c>
    </row>
    <row r="292" spans="17:19" x14ac:dyDescent="0.2">
      <c r="Q292" s="31" t="s">
        <v>459</v>
      </c>
      <c r="R292" s="72" t="s">
        <v>99</v>
      </c>
      <c r="S292" s="75" t="str">
        <f t="shared" si="4"/>
        <v>CO_PROWERS</v>
      </c>
    </row>
    <row r="293" spans="17:19" x14ac:dyDescent="0.2">
      <c r="Q293" s="30" t="s">
        <v>460</v>
      </c>
      <c r="R293" s="71" t="s">
        <v>99</v>
      </c>
      <c r="S293" s="75" t="str">
        <f t="shared" si="4"/>
        <v>CO_PUEBLO</v>
      </c>
    </row>
    <row r="294" spans="17:19" x14ac:dyDescent="0.2">
      <c r="Q294" s="31" t="s">
        <v>461</v>
      </c>
      <c r="R294" s="72" t="s">
        <v>99</v>
      </c>
      <c r="S294" s="75" t="str">
        <f t="shared" si="4"/>
        <v>CO_RIO BLANCO</v>
      </c>
    </row>
    <row r="295" spans="17:19" x14ac:dyDescent="0.2">
      <c r="Q295" s="30" t="s">
        <v>462</v>
      </c>
      <c r="R295" s="71" t="s">
        <v>99</v>
      </c>
      <c r="S295" s="75" t="str">
        <f t="shared" si="4"/>
        <v>CO_RIO GRANDE</v>
      </c>
    </row>
    <row r="296" spans="17:19" x14ac:dyDescent="0.2">
      <c r="Q296" s="31" t="s">
        <v>463</v>
      </c>
      <c r="R296" s="72" t="s">
        <v>99</v>
      </c>
      <c r="S296" s="75" t="str">
        <f t="shared" si="4"/>
        <v>CO_ROUTT</v>
      </c>
    </row>
    <row r="297" spans="17:19" x14ac:dyDescent="0.2">
      <c r="Q297" s="30" t="s">
        <v>464</v>
      </c>
      <c r="R297" s="71" t="s">
        <v>99</v>
      </c>
      <c r="S297" s="75" t="str">
        <f t="shared" si="4"/>
        <v>CO_SAGUACHE</v>
      </c>
    </row>
    <row r="298" spans="17:19" x14ac:dyDescent="0.2">
      <c r="Q298" s="31" t="s">
        <v>465</v>
      </c>
      <c r="R298" s="72" t="s">
        <v>99</v>
      </c>
      <c r="S298" s="75" t="str">
        <f t="shared" si="4"/>
        <v>CO_SAN JUAN</v>
      </c>
    </row>
    <row r="299" spans="17:19" x14ac:dyDescent="0.2">
      <c r="Q299" s="30" t="s">
        <v>466</v>
      </c>
      <c r="R299" s="71" t="s">
        <v>99</v>
      </c>
      <c r="S299" s="75" t="str">
        <f t="shared" si="4"/>
        <v>CO_SAN MIGUEL</v>
      </c>
    </row>
    <row r="300" spans="17:19" x14ac:dyDescent="0.2">
      <c r="Q300" s="31" t="s">
        <v>467</v>
      </c>
      <c r="R300" s="72" t="s">
        <v>99</v>
      </c>
      <c r="S300" s="75" t="str">
        <f t="shared" si="4"/>
        <v>CO_SEDGWICK</v>
      </c>
    </row>
    <row r="301" spans="17:19" x14ac:dyDescent="0.2">
      <c r="Q301" s="30" t="s">
        <v>468</v>
      </c>
      <c r="R301" s="71" t="s">
        <v>99</v>
      </c>
      <c r="S301" s="75" t="str">
        <f t="shared" si="4"/>
        <v>CO_SUMMIT</v>
      </c>
    </row>
    <row r="302" spans="17:19" x14ac:dyDescent="0.2">
      <c r="Q302" s="31" t="s">
        <v>469</v>
      </c>
      <c r="R302" s="72" t="s">
        <v>99</v>
      </c>
      <c r="S302" s="75" t="str">
        <f t="shared" si="4"/>
        <v>CO_TELLER</v>
      </c>
    </row>
    <row r="303" spans="17:19" x14ac:dyDescent="0.2">
      <c r="Q303" s="30" t="s">
        <v>261</v>
      </c>
      <c r="R303" s="71" t="s">
        <v>99</v>
      </c>
      <c r="S303" s="75" t="str">
        <f t="shared" si="4"/>
        <v>CO_WASHINGTON</v>
      </c>
    </row>
    <row r="304" spans="17:19" x14ac:dyDescent="0.2">
      <c r="Q304" s="31" t="s">
        <v>470</v>
      </c>
      <c r="R304" s="72" t="s">
        <v>99</v>
      </c>
      <c r="S304" s="75" t="str">
        <f t="shared" si="4"/>
        <v>CO_WELD</v>
      </c>
    </row>
    <row r="305" spans="17:19" x14ac:dyDescent="0.2">
      <c r="Q305" s="30" t="s">
        <v>303</v>
      </c>
      <c r="R305" s="71" t="s">
        <v>99</v>
      </c>
      <c r="S305" s="75" t="str">
        <f t="shared" si="4"/>
        <v>CO_YUMA</v>
      </c>
    </row>
    <row r="306" spans="17:19" x14ac:dyDescent="0.2">
      <c r="Q306" s="31" t="s">
        <v>471</v>
      </c>
      <c r="R306" s="72" t="s">
        <v>56</v>
      </c>
      <c r="S306" s="75" t="str">
        <f t="shared" si="4"/>
        <v>CT_FAIRFIELD</v>
      </c>
    </row>
    <row r="307" spans="17:19" x14ac:dyDescent="0.2">
      <c r="Q307" s="30" t="s">
        <v>472</v>
      </c>
      <c r="R307" s="71" t="s">
        <v>56</v>
      </c>
      <c r="S307" s="75" t="str">
        <f t="shared" si="4"/>
        <v>CT_HARTFORD</v>
      </c>
    </row>
    <row r="308" spans="17:19" x14ac:dyDescent="0.2">
      <c r="Q308" s="31" t="s">
        <v>473</v>
      </c>
      <c r="R308" s="72" t="s">
        <v>56</v>
      </c>
      <c r="S308" s="75" t="str">
        <f t="shared" si="4"/>
        <v>CT_LITCHFIELD</v>
      </c>
    </row>
    <row r="309" spans="17:19" x14ac:dyDescent="0.2">
      <c r="Q309" s="30" t="s">
        <v>474</v>
      </c>
      <c r="R309" s="71" t="s">
        <v>56</v>
      </c>
      <c r="S309" s="75" t="str">
        <f t="shared" si="4"/>
        <v>CT_MIDDLESEX</v>
      </c>
    </row>
    <row r="310" spans="17:19" x14ac:dyDescent="0.2">
      <c r="Q310" s="31" t="s">
        <v>475</v>
      </c>
      <c r="R310" s="72" t="s">
        <v>56</v>
      </c>
      <c r="S310" s="75" t="str">
        <f t="shared" si="4"/>
        <v>CT_NEW HAVEN</v>
      </c>
    </row>
    <row r="311" spans="17:19" x14ac:dyDescent="0.2">
      <c r="Q311" s="30" t="s">
        <v>476</v>
      </c>
      <c r="R311" s="71" t="s">
        <v>56</v>
      </c>
      <c r="S311" s="75" t="str">
        <f t="shared" si="4"/>
        <v>CT_NEW LONDON</v>
      </c>
    </row>
    <row r="312" spans="17:19" x14ac:dyDescent="0.2">
      <c r="Q312" s="31" t="s">
        <v>477</v>
      </c>
      <c r="R312" s="72" t="s">
        <v>56</v>
      </c>
      <c r="S312" s="75" t="str">
        <f t="shared" si="4"/>
        <v>CT_TOLLAND</v>
      </c>
    </row>
    <row r="313" spans="17:19" x14ac:dyDescent="0.2">
      <c r="Q313" s="30" t="s">
        <v>478</v>
      </c>
      <c r="R313" s="71" t="s">
        <v>56</v>
      </c>
      <c r="S313" s="75" t="str">
        <f t="shared" si="4"/>
        <v>CT_WINDHAM</v>
      </c>
    </row>
    <row r="314" spans="17:19" x14ac:dyDescent="0.2">
      <c r="Q314" s="31" t="s">
        <v>479</v>
      </c>
      <c r="R314" s="72" t="s">
        <v>98</v>
      </c>
      <c r="S314" s="75" t="str">
        <f t="shared" si="4"/>
        <v>DE_KENT</v>
      </c>
    </row>
    <row r="315" spans="17:19" x14ac:dyDescent="0.2">
      <c r="Q315" s="30" t="s">
        <v>480</v>
      </c>
      <c r="R315" s="71" t="s">
        <v>98</v>
      </c>
      <c r="S315" s="75" t="str">
        <f t="shared" si="4"/>
        <v>DE_NEW CASTLE</v>
      </c>
    </row>
    <row r="316" spans="17:19" x14ac:dyDescent="0.2">
      <c r="Q316" s="31" t="s">
        <v>481</v>
      </c>
      <c r="R316" s="72" t="s">
        <v>98</v>
      </c>
      <c r="S316" s="75" t="str">
        <f t="shared" si="4"/>
        <v>DE_SUSSEX</v>
      </c>
    </row>
    <row r="317" spans="17:19" x14ac:dyDescent="0.2">
      <c r="Q317" s="30" t="s">
        <v>482</v>
      </c>
      <c r="R317" s="71" t="s">
        <v>483</v>
      </c>
      <c r="S317" s="75" t="str">
        <f t="shared" si="4"/>
        <v>DC_DISTRICT OF COLUMBIA</v>
      </c>
    </row>
    <row r="318" spans="17:19" x14ac:dyDescent="0.2">
      <c r="Q318" s="31" t="s">
        <v>484</v>
      </c>
      <c r="R318" s="72" t="s">
        <v>97</v>
      </c>
      <c r="S318" s="75" t="str">
        <f t="shared" si="4"/>
        <v>FL_ALACHUA</v>
      </c>
    </row>
    <row r="319" spans="17:19" x14ac:dyDescent="0.2">
      <c r="Q319" s="30" t="s">
        <v>485</v>
      </c>
      <c r="R319" s="71" t="s">
        <v>97</v>
      </c>
      <c r="S319" s="75" t="str">
        <f t="shared" si="4"/>
        <v>FL_BAKER</v>
      </c>
    </row>
    <row r="320" spans="17:19" x14ac:dyDescent="0.2">
      <c r="Q320" s="31" t="s">
        <v>486</v>
      </c>
      <c r="R320" s="72" t="s">
        <v>97</v>
      </c>
      <c r="S320" s="75" t="str">
        <f t="shared" si="4"/>
        <v>FL_BAY</v>
      </c>
    </row>
    <row r="321" spans="17:19" x14ac:dyDescent="0.2">
      <c r="Q321" s="30" t="s">
        <v>487</v>
      </c>
      <c r="R321" s="71" t="s">
        <v>97</v>
      </c>
      <c r="S321" s="75" t="str">
        <f t="shared" si="4"/>
        <v>FL_BRADFORD</v>
      </c>
    </row>
    <row r="322" spans="17:19" x14ac:dyDescent="0.2">
      <c r="Q322" s="31" t="s">
        <v>488</v>
      </c>
      <c r="R322" s="72" t="s">
        <v>97</v>
      </c>
      <c r="S322" s="75" t="str">
        <f t="shared" si="4"/>
        <v>FL_BREVARD</v>
      </c>
    </row>
    <row r="323" spans="17:19" x14ac:dyDescent="0.2">
      <c r="Q323" s="30" t="s">
        <v>489</v>
      </c>
      <c r="R323" s="71" t="s">
        <v>97</v>
      </c>
      <c r="S323" s="75" t="str">
        <f t="shared" si="4"/>
        <v>FL_BROWARD</v>
      </c>
    </row>
    <row r="324" spans="17:19" x14ac:dyDescent="0.2">
      <c r="Q324" s="31" t="s">
        <v>204</v>
      </c>
      <c r="R324" s="72" t="s">
        <v>97</v>
      </c>
      <c r="S324" s="75" t="str">
        <f t="shared" ref="S324:S387" si="5">UPPER(CONCATENATE(TRIM(R324),"_",TRIM(Q324)))</f>
        <v>FL_CALHOUN</v>
      </c>
    </row>
    <row r="325" spans="17:19" x14ac:dyDescent="0.2">
      <c r="Q325" s="30" t="s">
        <v>490</v>
      </c>
      <c r="R325" s="71" t="s">
        <v>97</v>
      </c>
      <c r="S325" s="75" t="str">
        <f t="shared" si="5"/>
        <v>FL_CHARLOTTE</v>
      </c>
    </row>
    <row r="326" spans="17:19" x14ac:dyDescent="0.2">
      <c r="Q326" s="31" t="s">
        <v>491</v>
      </c>
      <c r="R326" s="72" t="s">
        <v>97</v>
      </c>
      <c r="S326" s="75" t="str">
        <f t="shared" si="5"/>
        <v>FL_CITRUS</v>
      </c>
    </row>
    <row r="327" spans="17:19" x14ac:dyDescent="0.2">
      <c r="Q327" s="30" t="s">
        <v>210</v>
      </c>
      <c r="R327" s="71" t="s">
        <v>97</v>
      </c>
      <c r="S327" s="75" t="str">
        <f t="shared" si="5"/>
        <v>FL_CLAY</v>
      </c>
    </row>
    <row r="328" spans="17:19" x14ac:dyDescent="0.2">
      <c r="Q328" s="31" t="s">
        <v>492</v>
      </c>
      <c r="R328" s="72" t="s">
        <v>97</v>
      </c>
      <c r="S328" s="75" t="str">
        <f t="shared" si="5"/>
        <v>FL_COLLIER</v>
      </c>
    </row>
    <row r="329" spans="17:19" x14ac:dyDescent="0.2">
      <c r="Q329" s="30" t="s">
        <v>314</v>
      </c>
      <c r="R329" s="71" t="s">
        <v>97</v>
      </c>
      <c r="S329" s="75" t="str">
        <f t="shared" si="5"/>
        <v>FL_COLUMBIA</v>
      </c>
    </row>
    <row r="330" spans="17:19" x14ac:dyDescent="0.2">
      <c r="Q330" s="31" t="s">
        <v>493</v>
      </c>
      <c r="R330" s="72" t="s">
        <v>97</v>
      </c>
      <c r="S330" s="75" t="str">
        <f t="shared" si="5"/>
        <v>FL_DADE</v>
      </c>
    </row>
    <row r="331" spans="17:19" x14ac:dyDescent="0.2">
      <c r="Q331" s="30" t="s">
        <v>494</v>
      </c>
      <c r="R331" s="71" t="s">
        <v>97</v>
      </c>
      <c r="S331" s="75" t="str">
        <f t="shared" si="5"/>
        <v>FL_DESOTO</v>
      </c>
    </row>
    <row r="332" spans="17:19" x14ac:dyDescent="0.2">
      <c r="Q332" s="31" t="s">
        <v>495</v>
      </c>
      <c r="R332" s="72" t="s">
        <v>97</v>
      </c>
      <c r="S332" s="75" t="str">
        <f t="shared" si="5"/>
        <v>FL_DIXIE</v>
      </c>
    </row>
    <row r="333" spans="17:19" x14ac:dyDescent="0.2">
      <c r="Q333" s="30" t="s">
        <v>496</v>
      </c>
      <c r="R333" s="71" t="s">
        <v>97</v>
      </c>
      <c r="S333" s="75" t="str">
        <f t="shared" si="5"/>
        <v>FL_DUVAL</v>
      </c>
    </row>
    <row r="334" spans="17:19" x14ac:dyDescent="0.2">
      <c r="Q334" s="31" t="s">
        <v>223</v>
      </c>
      <c r="R334" s="72" t="s">
        <v>97</v>
      </c>
      <c r="S334" s="75" t="str">
        <f t="shared" si="5"/>
        <v>FL_ESCAMBIA</v>
      </c>
    </row>
    <row r="335" spans="17:19" x14ac:dyDescent="0.2">
      <c r="Q335" s="30" t="s">
        <v>497</v>
      </c>
      <c r="R335" s="71" t="s">
        <v>97</v>
      </c>
      <c r="S335" s="75" t="str">
        <f t="shared" si="5"/>
        <v>FL_FLAGLER</v>
      </c>
    </row>
    <row r="336" spans="17:19" x14ac:dyDescent="0.2">
      <c r="Q336" s="31" t="s">
        <v>226</v>
      </c>
      <c r="R336" s="72" t="s">
        <v>97</v>
      </c>
      <c r="S336" s="75" t="str">
        <f t="shared" si="5"/>
        <v>FL_FRANKLIN</v>
      </c>
    </row>
    <row r="337" spans="17:19" x14ac:dyDescent="0.2">
      <c r="Q337" s="30" t="s">
        <v>498</v>
      </c>
      <c r="R337" s="71" t="s">
        <v>97</v>
      </c>
      <c r="S337" s="75" t="str">
        <f t="shared" si="5"/>
        <v>FL_GADSDEN</v>
      </c>
    </row>
    <row r="338" spans="17:19" x14ac:dyDescent="0.2">
      <c r="Q338" s="31" t="s">
        <v>499</v>
      </c>
      <c r="R338" s="72" t="s">
        <v>97</v>
      </c>
      <c r="S338" s="75" t="str">
        <f t="shared" si="5"/>
        <v>FL_GILCHRIST</v>
      </c>
    </row>
    <row r="339" spans="17:19" x14ac:dyDescent="0.2">
      <c r="Q339" s="30" t="s">
        <v>500</v>
      </c>
      <c r="R339" s="71" t="s">
        <v>97</v>
      </c>
      <c r="S339" s="75" t="str">
        <f t="shared" si="5"/>
        <v>FL_GLADES</v>
      </c>
    </row>
    <row r="340" spans="17:19" x14ac:dyDescent="0.2">
      <c r="Q340" s="31" t="s">
        <v>501</v>
      </c>
      <c r="R340" s="72" t="s">
        <v>97</v>
      </c>
      <c r="S340" s="75" t="str">
        <f t="shared" si="5"/>
        <v>FL_GULF</v>
      </c>
    </row>
    <row r="341" spans="17:19" x14ac:dyDescent="0.2">
      <c r="Q341" s="30" t="s">
        <v>502</v>
      </c>
      <c r="R341" s="71" t="s">
        <v>97</v>
      </c>
      <c r="S341" s="75" t="str">
        <f t="shared" si="5"/>
        <v>FL_HAMILTON</v>
      </c>
    </row>
    <row r="342" spans="17:19" x14ac:dyDescent="0.2">
      <c r="Q342" s="31" t="s">
        <v>503</v>
      </c>
      <c r="R342" s="72" t="s">
        <v>97</v>
      </c>
      <c r="S342" s="75" t="str">
        <f t="shared" si="5"/>
        <v>FL_HARDEE</v>
      </c>
    </row>
    <row r="343" spans="17:19" x14ac:dyDescent="0.2">
      <c r="Q343" s="30" t="s">
        <v>504</v>
      </c>
      <c r="R343" s="71" t="s">
        <v>97</v>
      </c>
      <c r="S343" s="75" t="str">
        <f t="shared" si="5"/>
        <v>FL_HENDRY</v>
      </c>
    </row>
    <row r="344" spans="17:19" x14ac:dyDescent="0.2">
      <c r="Q344" s="31" t="s">
        <v>505</v>
      </c>
      <c r="R344" s="72" t="s">
        <v>97</v>
      </c>
      <c r="S344" s="75" t="str">
        <f t="shared" si="5"/>
        <v>FL_HERNANDO</v>
      </c>
    </row>
    <row r="345" spans="17:19" x14ac:dyDescent="0.2">
      <c r="Q345" s="30" t="s">
        <v>506</v>
      </c>
      <c r="R345" s="71" t="s">
        <v>97</v>
      </c>
      <c r="S345" s="75" t="str">
        <f t="shared" si="5"/>
        <v>FL_HIGHLANDS</v>
      </c>
    </row>
    <row r="346" spans="17:19" x14ac:dyDescent="0.2">
      <c r="Q346" s="31" t="s">
        <v>507</v>
      </c>
      <c r="R346" s="72" t="s">
        <v>97</v>
      </c>
      <c r="S346" s="75" t="str">
        <f t="shared" si="5"/>
        <v>FL_HILLSBOROUGH</v>
      </c>
    </row>
    <row r="347" spans="17:19" x14ac:dyDescent="0.2">
      <c r="Q347" s="30" t="s">
        <v>508</v>
      </c>
      <c r="R347" s="71" t="s">
        <v>97</v>
      </c>
      <c r="S347" s="75" t="str">
        <f t="shared" si="5"/>
        <v>FL_HOLMES</v>
      </c>
    </row>
    <row r="348" spans="17:19" x14ac:dyDescent="0.2">
      <c r="Q348" s="31" t="s">
        <v>509</v>
      </c>
      <c r="R348" s="72" t="s">
        <v>97</v>
      </c>
      <c r="S348" s="75" t="str">
        <f t="shared" si="5"/>
        <v>FL_INDIAN RIVER</v>
      </c>
    </row>
    <row r="349" spans="17:19" x14ac:dyDescent="0.2">
      <c r="Q349" s="30" t="s">
        <v>232</v>
      </c>
      <c r="R349" s="71" t="s">
        <v>97</v>
      </c>
      <c r="S349" s="75" t="str">
        <f t="shared" si="5"/>
        <v>FL_JACKSON</v>
      </c>
    </row>
    <row r="350" spans="17:19" x14ac:dyDescent="0.2">
      <c r="Q350" s="31" t="s">
        <v>233</v>
      </c>
      <c r="R350" s="72" t="s">
        <v>97</v>
      </c>
      <c r="S350" s="75" t="str">
        <f t="shared" si="5"/>
        <v>FL_JEFFERSON</v>
      </c>
    </row>
    <row r="351" spans="17:19" x14ac:dyDescent="0.2">
      <c r="Q351" s="30" t="s">
        <v>332</v>
      </c>
      <c r="R351" s="71" t="s">
        <v>97</v>
      </c>
      <c r="S351" s="75" t="str">
        <f t="shared" si="5"/>
        <v>FL_LAFAYETTE</v>
      </c>
    </row>
    <row r="352" spans="17:19" x14ac:dyDescent="0.2">
      <c r="Q352" s="31" t="s">
        <v>377</v>
      </c>
      <c r="R352" s="72" t="s">
        <v>97</v>
      </c>
      <c r="S352" s="75" t="str">
        <f t="shared" si="5"/>
        <v>FL_LAKE</v>
      </c>
    </row>
    <row r="353" spans="17:19" x14ac:dyDescent="0.2">
      <c r="Q353" s="30" t="s">
        <v>237</v>
      </c>
      <c r="R353" s="71" t="s">
        <v>97</v>
      </c>
      <c r="S353" s="75" t="str">
        <f t="shared" si="5"/>
        <v>FL_LEE</v>
      </c>
    </row>
    <row r="354" spans="17:19" x14ac:dyDescent="0.2">
      <c r="Q354" s="31" t="s">
        <v>510</v>
      </c>
      <c r="R354" s="72" t="s">
        <v>97</v>
      </c>
      <c r="S354" s="75" t="str">
        <f t="shared" si="5"/>
        <v>FL_LEON</v>
      </c>
    </row>
    <row r="355" spans="17:19" x14ac:dyDescent="0.2">
      <c r="Q355" s="30" t="s">
        <v>511</v>
      </c>
      <c r="R355" s="71" t="s">
        <v>97</v>
      </c>
      <c r="S355" s="75" t="str">
        <f t="shared" si="5"/>
        <v>FL_LEVY</v>
      </c>
    </row>
    <row r="356" spans="17:19" x14ac:dyDescent="0.2">
      <c r="Q356" s="31" t="s">
        <v>512</v>
      </c>
      <c r="R356" s="72" t="s">
        <v>97</v>
      </c>
      <c r="S356" s="75" t="str">
        <f t="shared" si="5"/>
        <v>FL_LIBERTY</v>
      </c>
    </row>
    <row r="357" spans="17:19" x14ac:dyDescent="0.2">
      <c r="Q357" s="30" t="s">
        <v>241</v>
      </c>
      <c r="R357" s="71" t="s">
        <v>97</v>
      </c>
      <c r="S357" s="75" t="str">
        <f t="shared" si="5"/>
        <v>FL_MADISON</v>
      </c>
    </row>
    <row r="358" spans="17:19" x14ac:dyDescent="0.2">
      <c r="Q358" s="31" t="s">
        <v>513</v>
      </c>
      <c r="R358" s="72" t="s">
        <v>97</v>
      </c>
      <c r="S358" s="75" t="str">
        <f t="shared" si="5"/>
        <v>FL_MANATEE</v>
      </c>
    </row>
    <row r="359" spans="17:19" x14ac:dyDescent="0.2">
      <c r="Q359" s="30" t="s">
        <v>243</v>
      </c>
      <c r="R359" s="71" t="s">
        <v>97</v>
      </c>
      <c r="S359" s="75" t="str">
        <f t="shared" si="5"/>
        <v>FL_MARION</v>
      </c>
    </row>
    <row r="360" spans="17:19" x14ac:dyDescent="0.2">
      <c r="Q360" s="31" t="s">
        <v>514</v>
      </c>
      <c r="R360" s="72" t="s">
        <v>97</v>
      </c>
      <c r="S360" s="75" t="str">
        <f t="shared" si="5"/>
        <v>FL_MARTIN</v>
      </c>
    </row>
    <row r="361" spans="17:19" x14ac:dyDescent="0.2">
      <c r="Q361" s="30" t="s">
        <v>246</v>
      </c>
      <c r="R361" s="71" t="s">
        <v>97</v>
      </c>
      <c r="S361" s="75" t="str">
        <f t="shared" si="5"/>
        <v>FL_MONROE</v>
      </c>
    </row>
    <row r="362" spans="17:19" x14ac:dyDescent="0.2">
      <c r="Q362" s="31" t="s">
        <v>515</v>
      </c>
      <c r="R362" s="72" t="s">
        <v>97</v>
      </c>
      <c r="S362" s="75" t="str">
        <f t="shared" si="5"/>
        <v>FL_NASSAU</v>
      </c>
    </row>
    <row r="363" spans="17:19" x14ac:dyDescent="0.2">
      <c r="Q363" s="30" t="s">
        <v>516</v>
      </c>
      <c r="R363" s="71" t="s">
        <v>97</v>
      </c>
      <c r="S363" s="75" t="str">
        <f t="shared" si="5"/>
        <v>FL_OKALOOSA</v>
      </c>
    </row>
    <row r="364" spans="17:19" x14ac:dyDescent="0.2">
      <c r="Q364" s="31" t="s">
        <v>517</v>
      </c>
      <c r="R364" s="72" t="s">
        <v>97</v>
      </c>
      <c r="S364" s="75" t="str">
        <f t="shared" si="5"/>
        <v>FL_OKEECHOBEE</v>
      </c>
    </row>
    <row r="365" spans="17:19" x14ac:dyDescent="0.2">
      <c r="Q365" s="30" t="s">
        <v>389</v>
      </c>
      <c r="R365" s="71" t="s">
        <v>97</v>
      </c>
      <c r="S365" s="75" t="str">
        <f t="shared" si="5"/>
        <v>FL_ORANGE</v>
      </c>
    </row>
    <row r="366" spans="17:19" x14ac:dyDescent="0.2">
      <c r="Q366" s="31" t="s">
        <v>518</v>
      </c>
      <c r="R366" s="72" t="s">
        <v>97</v>
      </c>
      <c r="S366" s="75" t="str">
        <f t="shared" si="5"/>
        <v>FL_OSCEOLA</v>
      </c>
    </row>
    <row r="367" spans="17:19" x14ac:dyDescent="0.2">
      <c r="Q367" s="30" t="s">
        <v>519</v>
      </c>
      <c r="R367" s="71" t="s">
        <v>97</v>
      </c>
      <c r="S367" s="75" t="str">
        <f t="shared" si="5"/>
        <v>FL_PALM BEACH</v>
      </c>
    </row>
    <row r="368" spans="17:19" x14ac:dyDescent="0.2">
      <c r="Q368" s="31" t="s">
        <v>520</v>
      </c>
      <c r="R368" s="72" t="s">
        <v>97</v>
      </c>
      <c r="S368" s="75" t="str">
        <f t="shared" si="5"/>
        <v>FL_PASCO</v>
      </c>
    </row>
    <row r="369" spans="17:19" x14ac:dyDescent="0.2">
      <c r="Q369" s="30" t="s">
        <v>521</v>
      </c>
      <c r="R369" s="71" t="s">
        <v>97</v>
      </c>
      <c r="S369" s="75" t="str">
        <f t="shared" si="5"/>
        <v>FL_PINELLAS</v>
      </c>
    </row>
    <row r="370" spans="17:19" x14ac:dyDescent="0.2">
      <c r="Q370" s="31" t="s">
        <v>344</v>
      </c>
      <c r="R370" s="72" t="s">
        <v>97</v>
      </c>
      <c r="S370" s="75" t="str">
        <f t="shared" si="5"/>
        <v>FL_POLK</v>
      </c>
    </row>
    <row r="371" spans="17:19" x14ac:dyDescent="0.2">
      <c r="Q371" s="30" t="s">
        <v>522</v>
      </c>
      <c r="R371" s="71" t="s">
        <v>97</v>
      </c>
      <c r="S371" s="75" t="str">
        <f t="shared" si="5"/>
        <v>FL_PUTNAM</v>
      </c>
    </row>
    <row r="372" spans="17:19" x14ac:dyDescent="0.2">
      <c r="Q372" s="31" t="s">
        <v>523</v>
      </c>
      <c r="R372" s="72" t="s">
        <v>97</v>
      </c>
      <c r="S372" s="75" t="str">
        <f t="shared" si="5"/>
        <v>FL_ST. JOHNS</v>
      </c>
    </row>
    <row r="373" spans="17:19" x14ac:dyDescent="0.2">
      <c r="Q373" s="30" t="s">
        <v>524</v>
      </c>
      <c r="R373" s="71" t="s">
        <v>97</v>
      </c>
      <c r="S373" s="75" t="str">
        <f t="shared" si="5"/>
        <v>FL_ST. LUCIE</v>
      </c>
    </row>
    <row r="374" spans="17:19" x14ac:dyDescent="0.2">
      <c r="Q374" s="31" t="s">
        <v>525</v>
      </c>
      <c r="R374" s="72" t="s">
        <v>97</v>
      </c>
      <c r="S374" s="75" t="str">
        <f t="shared" si="5"/>
        <v>FL_SANTA ROSA</v>
      </c>
    </row>
    <row r="375" spans="17:19" x14ac:dyDescent="0.2">
      <c r="Q375" s="30" t="s">
        <v>526</v>
      </c>
      <c r="R375" s="71" t="s">
        <v>97</v>
      </c>
      <c r="S375" s="75" t="str">
        <f t="shared" si="5"/>
        <v>FL_SARASOTA</v>
      </c>
    </row>
    <row r="376" spans="17:19" x14ac:dyDescent="0.2">
      <c r="Q376" s="31" t="s">
        <v>527</v>
      </c>
      <c r="R376" s="72" t="s">
        <v>97</v>
      </c>
      <c r="S376" s="75" t="str">
        <f t="shared" si="5"/>
        <v>FL_SEMINOLE</v>
      </c>
    </row>
    <row r="377" spans="17:19" x14ac:dyDescent="0.2">
      <c r="Q377" s="30" t="s">
        <v>256</v>
      </c>
      <c r="R377" s="71" t="s">
        <v>97</v>
      </c>
      <c r="S377" s="75" t="str">
        <f t="shared" si="5"/>
        <v>FL_SUMTER</v>
      </c>
    </row>
    <row r="378" spans="17:19" x14ac:dyDescent="0.2">
      <c r="Q378" s="31" t="s">
        <v>528</v>
      </c>
      <c r="R378" s="72" t="s">
        <v>97</v>
      </c>
      <c r="S378" s="75" t="str">
        <f t="shared" si="5"/>
        <v>FL_SUWANNEE</v>
      </c>
    </row>
    <row r="379" spans="17:19" x14ac:dyDescent="0.2">
      <c r="Q379" s="30" t="s">
        <v>529</v>
      </c>
      <c r="R379" s="71" t="s">
        <v>97</v>
      </c>
      <c r="S379" s="75" t="str">
        <f t="shared" si="5"/>
        <v>FL_TAYLOR</v>
      </c>
    </row>
    <row r="380" spans="17:19" x14ac:dyDescent="0.2">
      <c r="Q380" s="31" t="s">
        <v>356</v>
      </c>
      <c r="R380" s="72" t="s">
        <v>97</v>
      </c>
      <c r="S380" s="75" t="str">
        <f t="shared" si="5"/>
        <v>FL_UNION</v>
      </c>
    </row>
    <row r="381" spans="17:19" x14ac:dyDescent="0.2">
      <c r="Q381" s="30" t="s">
        <v>530</v>
      </c>
      <c r="R381" s="71" t="s">
        <v>97</v>
      </c>
      <c r="S381" s="75" t="str">
        <f t="shared" si="5"/>
        <v>FL_VOLUSIA</v>
      </c>
    </row>
    <row r="382" spans="17:19" x14ac:dyDescent="0.2">
      <c r="Q382" s="31" t="s">
        <v>531</v>
      </c>
      <c r="R382" s="72" t="s">
        <v>97</v>
      </c>
      <c r="S382" s="75" t="str">
        <f t="shared" si="5"/>
        <v>FL_WAKULLA</v>
      </c>
    </row>
    <row r="383" spans="17:19" x14ac:dyDescent="0.2">
      <c r="Q383" s="30" t="s">
        <v>532</v>
      </c>
      <c r="R383" s="71" t="s">
        <v>97</v>
      </c>
      <c r="S383" s="75" t="str">
        <f t="shared" si="5"/>
        <v>FL_WALTON</v>
      </c>
    </row>
    <row r="384" spans="17:19" x14ac:dyDescent="0.2">
      <c r="Q384" s="31" t="s">
        <v>261</v>
      </c>
      <c r="R384" s="72" t="s">
        <v>97</v>
      </c>
      <c r="S384" s="75" t="str">
        <f t="shared" si="5"/>
        <v>FL_WASHINGTON</v>
      </c>
    </row>
    <row r="385" spans="17:19" x14ac:dyDescent="0.2">
      <c r="Q385" s="30" t="s">
        <v>533</v>
      </c>
      <c r="R385" s="71" t="s">
        <v>96</v>
      </c>
      <c r="S385" s="75" t="str">
        <f t="shared" si="5"/>
        <v>GA_APPLING</v>
      </c>
    </row>
    <row r="386" spans="17:19" x14ac:dyDescent="0.2">
      <c r="Q386" s="31" t="s">
        <v>534</v>
      </c>
      <c r="R386" s="72" t="s">
        <v>96</v>
      </c>
      <c r="S386" s="75" t="str">
        <f t="shared" si="5"/>
        <v>GA_ATKINSON</v>
      </c>
    </row>
    <row r="387" spans="17:19" x14ac:dyDescent="0.2">
      <c r="Q387" s="30" t="s">
        <v>535</v>
      </c>
      <c r="R387" s="71" t="s">
        <v>96</v>
      </c>
      <c r="S387" s="75" t="str">
        <f t="shared" si="5"/>
        <v>GA_BACON</v>
      </c>
    </row>
    <row r="388" spans="17:19" x14ac:dyDescent="0.2">
      <c r="Q388" s="31" t="s">
        <v>485</v>
      </c>
      <c r="R388" s="72" t="s">
        <v>96</v>
      </c>
      <c r="S388" s="75" t="str">
        <f t="shared" ref="S388:S451" si="6">UPPER(CONCATENATE(TRIM(R388),"_",TRIM(Q388)))</f>
        <v>GA_BAKER</v>
      </c>
    </row>
    <row r="389" spans="17:19" x14ac:dyDescent="0.2">
      <c r="Q389" s="30" t="s">
        <v>198</v>
      </c>
      <c r="R389" s="71" t="s">
        <v>96</v>
      </c>
      <c r="S389" s="75" t="str">
        <f t="shared" si="6"/>
        <v>GA_BALDWIN</v>
      </c>
    </row>
    <row r="390" spans="17:19" x14ac:dyDescent="0.2">
      <c r="Q390" s="31" t="s">
        <v>536</v>
      </c>
      <c r="R390" s="72" t="s">
        <v>96</v>
      </c>
      <c r="S390" s="75" t="str">
        <f t="shared" si="6"/>
        <v>GA_BANKS</v>
      </c>
    </row>
    <row r="391" spans="17:19" x14ac:dyDescent="0.2">
      <c r="Q391" s="30" t="s">
        <v>537</v>
      </c>
      <c r="R391" s="71" t="s">
        <v>96</v>
      </c>
      <c r="S391" s="75" t="str">
        <f t="shared" si="6"/>
        <v>GA_BARROW</v>
      </c>
    </row>
    <row r="392" spans="17:19" x14ac:dyDescent="0.2">
      <c r="Q392" s="31" t="s">
        <v>538</v>
      </c>
      <c r="R392" s="72" t="s">
        <v>96</v>
      </c>
      <c r="S392" s="75" t="str">
        <f t="shared" si="6"/>
        <v>GA_BARTOW</v>
      </c>
    </row>
    <row r="393" spans="17:19" x14ac:dyDescent="0.2">
      <c r="Q393" s="30" t="s">
        <v>539</v>
      </c>
      <c r="R393" s="71" t="s">
        <v>96</v>
      </c>
      <c r="S393" s="75" t="str">
        <f t="shared" si="6"/>
        <v>GA_BEN HILL</v>
      </c>
    </row>
    <row r="394" spans="17:19" x14ac:dyDescent="0.2">
      <c r="Q394" s="31" t="s">
        <v>540</v>
      </c>
      <c r="R394" s="72" t="s">
        <v>96</v>
      </c>
      <c r="S394" s="75" t="str">
        <f t="shared" si="6"/>
        <v>GA_BERRIEN</v>
      </c>
    </row>
    <row r="395" spans="17:19" x14ac:dyDescent="0.2">
      <c r="Q395" s="30" t="s">
        <v>200</v>
      </c>
      <c r="R395" s="71" t="s">
        <v>96</v>
      </c>
      <c r="S395" s="75" t="str">
        <f t="shared" si="6"/>
        <v>GA_BIBB</v>
      </c>
    </row>
    <row r="396" spans="17:19" x14ac:dyDescent="0.2">
      <c r="Q396" s="31" t="s">
        <v>541</v>
      </c>
      <c r="R396" s="72" t="s">
        <v>96</v>
      </c>
      <c r="S396" s="75" t="str">
        <f t="shared" si="6"/>
        <v>GA_BLECKLEY</v>
      </c>
    </row>
    <row r="397" spans="17:19" x14ac:dyDescent="0.2">
      <c r="Q397" s="30" t="s">
        <v>542</v>
      </c>
      <c r="R397" s="71" t="s">
        <v>96</v>
      </c>
      <c r="S397" s="75" t="str">
        <f t="shared" si="6"/>
        <v>GA_BRANTLEY</v>
      </c>
    </row>
    <row r="398" spans="17:19" x14ac:dyDescent="0.2">
      <c r="Q398" s="31" t="s">
        <v>543</v>
      </c>
      <c r="R398" s="72" t="s">
        <v>96</v>
      </c>
      <c r="S398" s="75" t="str">
        <f t="shared" si="6"/>
        <v>GA_BROOKS</v>
      </c>
    </row>
    <row r="399" spans="17:19" x14ac:dyDescent="0.2">
      <c r="Q399" s="30" t="s">
        <v>544</v>
      </c>
      <c r="R399" s="71" t="s">
        <v>96</v>
      </c>
      <c r="S399" s="75" t="str">
        <f t="shared" si="6"/>
        <v>GA_BRYAN</v>
      </c>
    </row>
    <row r="400" spans="17:19" x14ac:dyDescent="0.2">
      <c r="Q400" s="31" t="s">
        <v>545</v>
      </c>
      <c r="R400" s="72" t="s">
        <v>96</v>
      </c>
      <c r="S400" s="75" t="str">
        <f t="shared" si="6"/>
        <v>GA_BULLOCH</v>
      </c>
    </row>
    <row r="401" spans="17:19" x14ac:dyDescent="0.2">
      <c r="Q401" s="30" t="s">
        <v>546</v>
      </c>
      <c r="R401" s="71" t="s">
        <v>96</v>
      </c>
      <c r="S401" s="75" t="str">
        <f t="shared" si="6"/>
        <v>GA_BURKE</v>
      </c>
    </row>
    <row r="402" spans="17:19" x14ac:dyDescent="0.2">
      <c r="Q402" s="31" t="s">
        <v>547</v>
      </c>
      <c r="R402" s="72" t="s">
        <v>96</v>
      </c>
      <c r="S402" s="75" t="str">
        <f t="shared" si="6"/>
        <v>GA_BUTTS</v>
      </c>
    </row>
    <row r="403" spans="17:19" x14ac:dyDescent="0.2">
      <c r="Q403" s="30" t="s">
        <v>204</v>
      </c>
      <c r="R403" s="71" t="s">
        <v>96</v>
      </c>
      <c r="S403" s="75" t="str">
        <f t="shared" si="6"/>
        <v>GA_CALHOUN</v>
      </c>
    </row>
    <row r="404" spans="17:19" x14ac:dyDescent="0.2">
      <c r="Q404" s="31" t="s">
        <v>548</v>
      </c>
      <c r="R404" s="72" t="s">
        <v>96</v>
      </c>
      <c r="S404" s="75" t="str">
        <f t="shared" si="6"/>
        <v>GA_CAMDEN</v>
      </c>
    </row>
    <row r="405" spans="17:19" x14ac:dyDescent="0.2">
      <c r="Q405" s="30" t="s">
        <v>549</v>
      </c>
      <c r="R405" s="71" t="s">
        <v>96</v>
      </c>
      <c r="S405" s="75" t="str">
        <f t="shared" si="6"/>
        <v>GA_CANDLER</v>
      </c>
    </row>
    <row r="406" spans="17:19" x14ac:dyDescent="0.2">
      <c r="Q406" s="31" t="s">
        <v>310</v>
      </c>
      <c r="R406" s="72" t="s">
        <v>96</v>
      </c>
      <c r="S406" s="75" t="str">
        <f t="shared" si="6"/>
        <v>GA_CARROLL</v>
      </c>
    </row>
    <row r="407" spans="17:19" x14ac:dyDescent="0.2">
      <c r="Q407" s="30" t="s">
        <v>550</v>
      </c>
      <c r="R407" s="71" t="s">
        <v>96</v>
      </c>
      <c r="S407" s="75" t="str">
        <f t="shared" si="6"/>
        <v>GA_CATOOSA</v>
      </c>
    </row>
    <row r="408" spans="17:19" x14ac:dyDescent="0.2">
      <c r="Q408" s="31" t="s">
        <v>551</v>
      </c>
      <c r="R408" s="72" t="s">
        <v>96</v>
      </c>
      <c r="S408" s="75" t="str">
        <f t="shared" si="6"/>
        <v>GA_CHARLTON</v>
      </c>
    </row>
    <row r="409" spans="17:19" x14ac:dyDescent="0.2">
      <c r="Q409" s="30" t="s">
        <v>552</v>
      </c>
      <c r="R409" s="71" t="s">
        <v>96</v>
      </c>
      <c r="S409" s="75" t="str">
        <f t="shared" si="6"/>
        <v>GA_CHATHAM</v>
      </c>
    </row>
    <row r="410" spans="17:19" x14ac:dyDescent="0.2">
      <c r="Q410" s="31" t="s">
        <v>553</v>
      </c>
      <c r="R410" s="72" t="s">
        <v>96</v>
      </c>
      <c r="S410" s="75" t="str">
        <f t="shared" si="6"/>
        <v>GA_CHATTAHOOCHEE</v>
      </c>
    </row>
    <row r="411" spans="17:19" x14ac:dyDescent="0.2">
      <c r="Q411" s="30" t="s">
        <v>554</v>
      </c>
      <c r="R411" s="71" t="s">
        <v>96</v>
      </c>
      <c r="S411" s="75" t="str">
        <f t="shared" si="6"/>
        <v>GA_CHATTOOGA</v>
      </c>
    </row>
    <row r="412" spans="17:19" x14ac:dyDescent="0.2">
      <c r="Q412" s="31" t="s">
        <v>206</v>
      </c>
      <c r="R412" s="72" t="s">
        <v>96</v>
      </c>
      <c r="S412" s="75" t="str">
        <f t="shared" si="6"/>
        <v>GA_CHEROKEE</v>
      </c>
    </row>
    <row r="413" spans="17:19" x14ac:dyDescent="0.2">
      <c r="Q413" s="30" t="s">
        <v>209</v>
      </c>
      <c r="R413" s="71" t="s">
        <v>96</v>
      </c>
      <c r="S413" s="75" t="str">
        <f t="shared" si="6"/>
        <v>GA_CLARKE</v>
      </c>
    </row>
    <row r="414" spans="17:19" x14ac:dyDescent="0.2">
      <c r="Q414" s="31" t="s">
        <v>210</v>
      </c>
      <c r="R414" s="72" t="s">
        <v>96</v>
      </c>
      <c r="S414" s="75" t="str">
        <f t="shared" si="6"/>
        <v>GA_CLAY</v>
      </c>
    </row>
    <row r="415" spans="17:19" x14ac:dyDescent="0.2">
      <c r="Q415" s="30" t="s">
        <v>555</v>
      </c>
      <c r="R415" s="71" t="s">
        <v>96</v>
      </c>
      <c r="S415" s="75" t="str">
        <f t="shared" si="6"/>
        <v>GA_CLAYTON</v>
      </c>
    </row>
    <row r="416" spans="17:19" x14ac:dyDescent="0.2">
      <c r="Q416" s="31" t="s">
        <v>556</v>
      </c>
      <c r="R416" s="72" t="s">
        <v>96</v>
      </c>
      <c r="S416" s="75" t="str">
        <f t="shared" si="6"/>
        <v>GA_CLINCH</v>
      </c>
    </row>
    <row r="417" spans="17:19" x14ac:dyDescent="0.2">
      <c r="Q417" s="30" t="s">
        <v>557</v>
      </c>
      <c r="R417" s="71" t="s">
        <v>96</v>
      </c>
      <c r="S417" s="75" t="str">
        <f t="shared" si="6"/>
        <v>GA_COBB</v>
      </c>
    </row>
    <row r="418" spans="17:19" x14ac:dyDescent="0.2">
      <c r="Q418" s="31" t="s">
        <v>212</v>
      </c>
      <c r="R418" s="72" t="s">
        <v>96</v>
      </c>
      <c r="S418" s="75" t="str">
        <f t="shared" si="6"/>
        <v>GA_COFFEE</v>
      </c>
    </row>
    <row r="419" spans="17:19" x14ac:dyDescent="0.2">
      <c r="Q419" s="30" t="s">
        <v>558</v>
      </c>
      <c r="R419" s="71" t="s">
        <v>96</v>
      </c>
      <c r="S419" s="75" t="str">
        <f t="shared" si="6"/>
        <v>GA_COLQUITT</v>
      </c>
    </row>
    <row r="420" spans="17:19" x14ac:dyDescent="0.2">
      <c r="Q420" s="31" t="s">
        <v>314</v>
      </c>
      <c r="R420" s="72" t="s">
        <v>96</v>
      </c>
      <c r="S420" s="75" t="str">
        <f t="shared" si="6"/>
        <v>GA_COLUMBIA</v>
      </c>
    </row>
    <row r="421" spans="17:19" x14ac:dyDescent="0.2">
      <c r="Q421" s="30" t="s">
        <v>559</v>
      </c>
      <c r="R421" s="71" t="s">
        <v>96</v>
      </c>
      <c r="S421" s="75" t="str">
        <f t="shared" si="6"/>
        <v>GA_COOK</v>
      </c>
    </row>
    <row r="422" spans="17:19" x14ac:dyDescent="0.2">
      <c r="Q422" s="31" t="s">
        <v>560</v>
      </c>
      <c r="R422" s="72" t="s">
        <v>96</v>
      </c>
      <c r="S422" s="75" t="str">
        <f t="shared" si="6"/>
        <v>GA_COWETA</v>
      </c>
    </row>
    <row r="423" spans="17:19" x14ac:dyDescent="0.2">
      <c r="Q423" s="30" t="s">
        <v>317</v>
      </c>
      <c r="R423" s="71" t="s">
        <v>96</v>
      </c>
      <c r="S423" s="75" t="str">
        <f t="shared" si="6"/>
        <v>GA_CRAWFORD</v>
      </c>
    </row>
    <row r="424" spans="17:19" x14ac:dyDescent="0.2">
      <c r="Q424" s="31" t="s">
        <v>561</v>
      </c>
      <c r="R424" s="72" t="s">
        <v>96</v>
      </c>
      <c r="S424" s="75" t="str">
        <f t="shared" si="6"/>
        <v>GA_CRISP</v>
      </c>
    </row>
    <row r="425" spans="17:19" x14ac:dyDescent="0.2">
      <c r="Q425" s="30" t="s">
        <v>493</v>
      </c>
      <c r="R425" s="71" t="s">
        <v>96</v>
      </c>
      <c r="S425" s="75" t="str">
        <f t="shared" si="6"/>
        <v>GA_DADE</v>
      </c>
    </row>
    <row r="426" spans="17:19" x14ac:dyDescent="0.2">
      <c r="Q426" s="31" t="s">
        <v>562</v>
      </c>
      <c r="R426" s="72" t="s">
        <v>96</v>
      </c>
      <c r="S426" s="75" t="str">
        <f t="shared" si="6"/>
        <v>GA_DAWSON</v>
      </c>
    </row>
    <row r="427" spans="17:19" x14ac:dyDescent="0.2">
      <c r="Q427" s="30" t="s">
        <v>563</v>
      </c>
      <c r="R427" s="71" t="s">
        <v>96</v>
      </c>
      <c r="S427" s="75" t="str">
        <f t="shared" si="6"/>
        <v>GA_DECATUR</v>
      </c>
    </row>
    <row r="428" spans="17:19" x14ac:dyDescent="0.2">
      <c r="Q428" s="31" t="s">
        <v>564</v>
      </c>
      <c r="R428" s="72" t="s">
        <v>96</v>
      </c>
      <c r="S428" s="75" t="str">
        <f t="shared" si="6"/>
        <v>GA_DE KALB</v>
      </c>
    </row>
    <row r="429" spans="17:19" x14ac:dyDescent="0.2">
      <c r="Q429" s="30" t="s">
        <v>565</v>
      </c>
      <c r="R429" s="71" t="s">
        <v>96</v>
      </c>
      <c r="S429" s="75" t="str">
        <f t="shared" si="6"/>
        <v>GA_DODGE</v>
      </c>
    </row>
    <row r="430" spans="17:19" x14ac:dyDescent="0.2">
      <c r="Q430" s="31" t="s">
        <v>566</v>
      </c>
      <c r="R430" s="72" t="s">
        <v>96</v>
      </c>
      <c r="S430" s="75" t="str">
        <f t="shared" si="6"/>
        <v>GA_DOOLY</v>
      </c>
    </row>
    <row r="431" spans="17:19" x14ac:dyDescent="0.2">
      <c r="Q431" s="30" t="s">
        <v>567</v>
      </c>
      <c r="R431" s="71" t="s">
        <v>96</v>
      </c>
      <c r="S431" s="75" t="str">
        <f t="shared" si="6"/>
        <v>GA_DOUGHERTY</v>
      </c>
    </row>
    <row r="432" spans="17:19" x14ac:dyDescent="0.2">
      <c r="Q432" s="31" t="s">
        <v>434</v>
      </c>
      <c r="R432" s="72" t="s">
        <v>96</v>
      </c>
      <c r="S432" s="75" t="str">
        <f t="shared" si="6"/>
        <v>GA_DOUGLAS</v>
      </c>
    </row>
    <row r="433" spans="17:19" x14ac:dyDescent="0.2">
      <c r="Q433" s="30" t="s">
        <v>568</v>
      </c>
      <c r="R433" s="71" t="s">
        <v>96</v>
      </c>
      <c r="S433" s="75" t="str">
        <f t="shared" si="6"/>
        <v>GA_EARLY</v>
      </c>
    </row>
    <row r="434" spans="17:19" x14ac:dyDescent="0.2">
      <c r="Q434" s="31" t="s">
        <v>569</v>
      </c>
      <c r="R434" s="72" t="s">
        <v>96</v>
      </c>
      <c r="S434" s="75" t="str">
        <f t="shared" si="6"/>
        <v>GA_ECHOLS</v>
      </c>
    </row>
    <row r="435" spans="17:19" x14ac:dyDescent="0.2">
      <c r="Q435" s="30" t="s">
        <v>570</v>
      </c>
      <c r="R435" s="71" t="s">
        <v>96</v>
      </c>
      <c r="S435" s="75" t="str">
        <f t="shared" si="6"/>
        <v>GA_EFFINGHAM</v>
      </c>
    </row>
    <row r="436" spans="17:19" x14ac:dyDescent="0.2">
      <c r="Q436" s="31" t="s">
        <v>436</v>
      </c>
      <c r="R436" s="72" t="s">
        <v>96</v>
      </c>
      <c r="S436" s="75" t="str">
        <f t="shared" si="6"/>
        <v>GA_ELBERT</v>
      </c>
    </row>
    <row r="437" spans="17:19" x14ac:dyDescent="0.2">
      <c r="Q437" s="30" t="s">
        <v>571</v>
      </c>
      <c r="R437" s="71" t="s">
        <v>96</v>
      </c>
      <c r="S437" s="75" t="str">
        <f t="shared" si="6"/>
        <v>GA_EMANUEL</v>
      </c>
    </row>
    <row r="438" spans="17:19" x14ac:dyDescent="0.2">
      <c r="Q438" s="31" t="s">
        <v>572</v>
      </c>
      <c r="R438" s="72" t="s">
        <v>96</v>
      </c>
      <c r="S438" s="75" t="str">
        <f t="shared" si="6"/>
        <v>GA_EVANS</v>
      </c>
    </row>
    <row r="439" spans="17:19" x14ac:dyDescent="0.2">
      <c r="Q439" s="30" t="s">
        <v>573</v>
      </c>
      <c r="R439" s="71" t="s">
        <v>96</v>
      </c>
      <c r="S439" s="75" t="str">
        <f t="shared" si="6"/>
        <v>GA_FANNIN</v>
      </c>
    </row>
    <row r="440" spans="17:19" x14ac:dyDescent="0.2">
      <c r="Q440" s="31" t="s">
        <v>225</v>
      </c>
      <c r="R440" s="72" t="s">
        <v>96</v>
      </c>
      <c r="S440" s="75" t="str">
        <f t="shared" si="6"/>
        <v>GA_FAYETTE</v>
      </c>
    </row>
    <row r="441" spans="17:19" x14ac:dyDescent="0.2">
      <c r="Q441" s="30" t="s">
        <v>574</v>
      </c>
      <c r="R441" s="71" t="s">
        <v>96</v>
      </c>
      <c r="S441" s="75" t="str">
        <f t="shared" si="6"/>
        <v>GA_FLOYD</v>
      </c>
    </row>
    <row r="442" spans="17:19" x14ac:dyDescent="0.2">
      <c r="Q442" s="31" t="s">
        <v>575</v>
      </c>
      <c r="R442" s="72" t="s">
        <v>96</v>
      </c>
      <c r="S442" s="75" t="str">
        <f t="shared" si="6"/>
        <v>GA_FORSYTH</v>
      </c>
    </row>
    <row r="443" spans="17:19" x14ac:dyDescent="0.2">
      <c r="Q443" s="30" t="s">
        <v>226</v>
      </c>
      <c r="R443" s="71" t="s">
        <v>96</v>
      </c>
      <c r="S443" s="75" t="str">
        <f t="shared" si="6"/>
        <v>GA_FRANKLIN</v>
      </c>
    </row>
    <row r="444" spans="17:19" x14ac:dyDescent="0.2">
      <c r="Q444" s="31" t="s">
        <v>323</v>
      </c>
      <c r="R444" s="72" t="s">
        <v>96</v>
      </c>
      <c r="S444" s="75" t="str">
        <f t="shared" si="6"/>
        <v>GA_FULTON</v>
      </c>
    </row>
    <row r="445" spans="17:19" x14ac:dyDescent="0.2">
      <c r="Q445" s="30" t="s">
        <v>576</v>
      </c>
      <c r="R445" s="71" t="s">
        <v>96</v>
      </c>
      <c r="S445" s="75" t="str">
        <f t="shared" si="6"/>
        <v>GA_GILMER</v>
      </c>
    </row>
    <row r="446" spans="17:19" x14ac:dyDescent="0.2">
      <c r="Q446" s="31" t="s">
        <v>577</v>
      </c>
      <c r="R446" s="72" t="s">
        <v>96</v>
      </c>
      <c r="S446" s="75" t="str">
        <f t="shared" si="6"/>
        <v>GA_GLASCOCK</v>
      </c>
    </row>
    <row r="447" spans="17:19" x14ac:dyDescent="0.2">
      <c r="Q447" s="30" t="s">
        <v>578</v>
      </c>
      <c r="R447" s="71" t="s">
        <v>96</v>
      </c>
      <c r="S447" s="75" t="str">
        <f t="shared" si="6"/>
        <v>GA_GLYNN</v>
      </c>
    </row>
    <row r="448" spans="17:19" x14ac:dyDescent="0.2">
      <c r="Q448" s="31" t="s">
        <v>579</v>
      </c>
      <c r="R448" s="72" t="s">
        <v>96</v>
      </c>
      <c r="S448" s="75" t="str">
        <f t="shared" si="6"/>
        <v>GA_GORDON</v>
      </c>
    </row>
    <row r="449" spans="17:19" x14ac:dyDescent="0.2">
      <c r="Q449" s="30" t="s">
        <v>580</v>
      </c>
      <c r="R449" s="71" t="s">
        <v>96</v>
      </c>
      <c r="S449" s="75" t="str">
        <f t="shared" si="6"/>
        <v>GA_GRADY</v>
      </c>
    </row>
    <row r="450" spans="17:19" x14ac:dyDescent="0.2">
      <c r="Q450" s="31" t="s">
        <v>228</v>
      </c>
      <c r="R450" s="72" t="s">
        <v>96</v>
      </c>
      <c r="S450" s="75" t="str">
        <f t="shared" si="6"/>
        <v>GA_GREENE</v>
      </c>
    </row>
    <row r="451" spans="17:19" x14ac:dyDescent="0.2">
      <c r="Q451" s="30" t="s">
        <v>581</v>
      </c>
      <c r="R451" s="71" t="s">
        <v>96</v>
      </c>
      <c r="S451" s="75" t="str">
        <f t="shared" si="6"/>
        <v>GA_GWINNETT</v>
      </c>
    </row>
    <row r="452" spans="17:19" x14ac:dyDescent="0.2">
      <c r="Q452" s="31" t="s">
        <v>582</v>
      </c>
      <c r="R452" s="72" t="s">
        <v>96</v>
      </c>
      <c r="S452" s="75" t="str">
        <f t="shared" ref="S452:S515" si="7">UPPER(CONCATENATE(TRIM(R452),"_",TRIM(Q452)))</f>
        <v>GA_HABERSHAM</v>
      </c>
    </row>
    <row r="453" spans="17:19" x14ac:dyDescent="0.2">
      <c r="Q453" s="30" t="s">
        <v>583</v>
      </c>
      <c r="R453" s="71" t="s">
        <v>96</v>
      </c>
      <c r="S453" s="75" t="str">
        <f t="shared" si="7"/>
        <v>GA_HALL</v>
      </c>
    </row>
    <row r="454" spans="17:19" x14ac:dyDescent="0.2">
      <c r="Q454" s="31" t="s">
        <v>584</v>
      </c>
      <c r="R454" s="72" t="s">
        <v>96</v>
      </c>
      <c r="S454" s="75" t="str">
        <f t="shared" si="7"/>
        <v>GA_HANCOCK</v>
      </c>
    </row>
    <row r="455" spans="17:19" x14ac:dyDescent="0.2">
      <c r="Q455" s="30" t="s">
        <v>585</v>
      </c>
      <c r="R455" s="71" t="s">
        <v>96</v>
      </c>
      <c r="S455" s="75" t="str">
        <f t="shared" si="7"/>
        <v>GA_HARALSON</v>
      </c>
    </row>
    <row r="456" spans="17:19" x14ac:dyDescent="0.2">
      <c r="Q456" s="31" t="s">
        <v>586</v>
      </c>
      <c r="R456" s="72" t="s">
        <v>96</v>
      </c>
      <c r="S456" s="75" t="str">
        <f t="shared" si="7"/>
        <v>GA_HARRIS</v>
      </c>
    </row>
    <row r="457" spans="17:19" x14ac:dyDescent="0.2">
      <c r="Q457" s="30" t="s">
        <v>587</v>
      </c>
      <c r="R457" s="71" t="s">
        <v>96</v>
      </c>
      <c r="S457" s="75" t="str">
        <f t="shared" si="7"/>
        <v>GA_HART</v>
      </c>
    </row>
    <row r="458" spans="17:19" x14ac:dyDescent="0.2">
      <c r="Q458" s="31" t="s">
        <v>588</v>
      </c>
      <c r="R458" s="72" t="s">
        <v>96</v>
      </c>
      <c r="S458" s="75" t="str">
        <f t="shared" si="7"/>
        <v>GA_HEARD</v>
      </c>
    </row>
    <row r="459" spans="17:19" x14ac:dyDescent="0.2">
      <c r="Q459" s="30" t="s">
        <v>230</v>
      </c>
      <c r="R459" s="71" t="s">
        <v>96</v>
      </c>
      <c r="S459" s="75" t="str">
        <f t="shared" si="7"/>
        <v>GA_HENRY</v>
      </c>
    </row>
    <row r="460" spans="17:19" x14ac:dyDescent="0.2">
      <c r="Q460" s="31" t="s">
        <v>231</v>
      </c>
      <c r="R460" s="72" t="s">
        <v>96</v>
      </c>
      <c r="S460" s="75" t="str">
        <f t="shared" si="7"/>
        <v>GA_HOUSTON</v>
      </c>
    </row>
    <row r="461" spans="17:19" x14ac:dyDescent="0.2">
      <c r="Q461" s="30" t="s">
        <v>589</v>
      </c>
      <c r="R461" s="71" t="s">
        <v>96</v>
      </c>
      <c r="S461" s="75" t="str">
        <f t="shared" si="7"/>
        <v>GA_IRWIN</v>
      </c>
    </row>
    <row r="462" spans="17:19" x14ac:dyDescent="0.2">
      <c r="Q462" s="31" t="s">
        <v>232</v>
      </c>
      <c r="R462" s="72" t="s">
        <v>96</v>
      </c>
      <c r="S462" s="75" t="str">
        <f t="shared" si="7"/>
        <v>GA_JACKSON</v>
      </c>
    </row>
    <row r="463" spans="17:19" x14ac:dyDescent="0.2">
      <c r="Q463" s="30" t="s">
        <v>590</v>
      </c>
      <c r="R463" s="71" t="s">
        <v>96</v>
      </c>
      <c r="S463" s="75" t="str">
        <f t="shared" si="7"/>
        <v>GA_JASPER</v>
      </c>
    </row>
    <row r="464" spans="17:19" x14ac:dyDescent="0.2">
      <c r="Q464" s="31" t="s">
        <v>591</v>
      </c>
      <c r="R464" s="72" t="s">
        <v>96</v>
      </c>
      <c r="S464" s="75" t="str">
        <f t="shared" si="7"/>
        <v>GA_JEFF DAVIS</v>
      </c>
    </row>
    <row r="465" spans="17:19" x14ac:dyDescent="0.2">
      <c r="Q465" s="30" t="s">
        <v>233</v>
      </c>
      <c r="R465" s="71" t="s">
        <v>96</v>
      </c>
      <c r="S465" s="75" t="str">
        <f t="shared" si="7"/>
        <v>GA_JEFFERSON</v>
      </c>
    </row>
    <row r="466" spans="17:19" x14ac:dyDescent="0.2">
      <c r="Q466" s="31" t="s">
        <v>592</v>
      </c>
      <c r="R466" s="72" t="s">
        <v>96</v>
      </c>
      <c r="S466" s="75" t="str">
        <f t="shared" si="7"/>
        <v>GA_JENKINS</v>
      </c>
    </row>
    <row r="467" spans="17:19" x14ac:dyDescent="0.2">
      <c r="Q467" s="30" t="s">
        <v>331</v>
      </c>
      <c r="R467" s="71" t="s">
        <v>96</v>
      </c>
      <c r="S467" s="75" t="str">
        <f t="shared" si="7"/>
        <v>GA_JOHNSON</v>
      </c>
    </row>
    <row r="468" spans="17:19" x14ac:dyDescent="0.2">
      <c r="Q468" s="31" t="s">
        <v>593</v>
      </c>
      <c r="R468" s="72" t="s">
        <v>96</v>
      </c>
      <c r="S468" s="75" t="str">
        <f t="shared" si="7"/>
        <v>GA_JONES</v>
      </c>
    </row>
    <row r="469" spans="17:19" x14ac:dyDescent="0.2">
      <c r="Q469" s="30" t="s">
        <v>234</v>
      </c>
      <c r="R469" s="71" t="s">
        <v>96</v>
      </c>
      <c r="S469" s="75" t="str">
        <f t="shared" si="7"/>
        <v>GA_LAMAR</v>
      </c>
    </row>
    <row r="470" spans="17:19" x14ac:dyDescent="0.2">
      <c r="Q470" s="31" t="s">
        <v>594</v>
      </c>
      <c r="R470" s="72" t="s">
        <v>96</v>
      </c>
      <c r="S470" s="75" t="str">
        <f t="shared" si="7"/>
        <v>GA_LANIER</v>
      </c>
    </row>
    <row r="471" spans="17:19" x14ac:dyDescent="0.2">
      <c r="Q471" s="30" t="s">
        <v>595</v>
      </c>
      <c r="R471" s="71" t="s">
        <v>96</v>
      </c>
      <c r="S471" s="75" t="str">
        <f t="shared" si="7"/>
        <v>GA_LAURENS</v>
      </c>
    </row>
    <row r="472" spans="17:19" x14ac:dyDescent="0.2">
      <c r="Q472" s="31" t="s">
        <v>237</v>
      </c>
      <c r="R472" s="72" t="s">
        <v>96</v>
      </c>
      <c r="S472" s="75" t="str">
        <f t="shared" si="7"/>
        <v>GA_LEE</v>
      </c>
    </row>
    <row r="473" spans="17:19" x14ac:dyDescent="0.2">
      <c r="Q473" s="30" t="s">
        <v>512</v>
      </c>
      <c r="R473" s="71" t="s">
        <v>96</v>
      </c>
      <c r="S473" s="75" t="str">
        <f t="shared" si="7"/>
        <v>GA_LIBERTY</v>
      </c>
    </row>
    <row r="474" spans="17:19" x14ac:dyDescent="0.2">
      <c r="Q474" s="31" t="s">
        <v>333</v>
      </c>
      <c r="R474" s="72" t="s">
        <v>96</v>
      </c>
      <c r="S474" s="75" t="str">
        <f t="shared" si="7"/>
        <v>GA_LINCOLN</v>
      </c>
    </row>
    <row r="475" spans="17:19" x14ac:dyDescent="0.2">
      <c r="Q475" s="30" t="s">
        <v>596</v>
      </c>
      <c r="R475" s="71" t="s">
        <v>96</v>
      </c>
      <c r="S475" s="75" t="str">
        <f t="shared" si="7"/>
        <v>GA_LONG</v>
      </c>
    </row>
    <row r="476" spans="17:19" x14ac:dyDescent="0.2">
      <c r="Q476" s="31" t="s">
        <v>239</v>
      </c>
      <c r="R476" s="72" t="s">
        <v>96</v>
      </c>
      <c r="S476" s="75" t="str">
        <f t="shared" si="7"/>
        <v>GA_LOWNDES</v>
      </c>
    </row>
    <row r="477" spans="17:19" x14ac:dyDescent="0.2">
      <c r="Q477" s="30" t="s">
        <v>597</v>
      </c>
      <c r="R477" s="71" t="s">
        <v>96</v>
      </c>
      <c r="S477" s="75" t="str">
        <f t="shared" si="7"/>
        <v>GA_LUMPKIN</v>
      </c>
    </row>
    <row r="478" spans="17:19" x14ac:dyDescent="0.2">
      <c r="Q478" s="31" t="s">
        <v>598</v>
      </c>
      <c r="R478" s="72" t="s">
        <v>96</v>
      </c>
      <c r="S478" s="75" t="str">
        <f t="shared" si="7"/>
        <v>GA_MCDUFFIE</v>
      </c>
    </row>
    <row r="479" spans="17:19" x14ac:dyDescent="0.2">
      <c r="Q479" s="30" t="s">
        <v>599</v>
      </c>
      <c r="R479" s="71" t="s">
        <v>96</v>
      </c>
      <c r="S479" s="75" t="str">
        <f t="shared" si="7"/>
        <v>GA_MCINTOSH</v>
      </c>
    </row>
    <row r="480" spans="17:19" x14ac:dyDescent="0.2">
      <c r="Q480" s="31" t="s">
        <v>240</v>
      </c>
      <c r="R480" s="72" t="s">
        <v>96</v>
      </c>
      <c r="S480" s="75" t="str">
        <f t="shared" si="7"/>
        <v>GA_MACON</v>
      </c>
    </row>
    <row r="481" spans="17:19" x14ac:dyDescent="0.2">
      <c r="Q481" s="30" t="s">
        <v>241</v>
      </c>
      <c r="R481" s="71" t="s">
        <v>96</v>
      </c>
      <c r="S481" s="75" t="str">
        <f t="shared" si="7"/>
        <v>GA_MADISON</v>
      </c>
    </row>
    <row r="482" spans="17:19" x14ac:dyDescent="0.2">
      <c r="Q482" s="31" t="s">
        <v>243</v>
      </c>
      <c r="R482" s="72" t="s">
        <v>96</v>
      </c>
      <c r="S482" s="75" t="str">
        <f t="shared" si="7"/>
        <v>GA_MARION</v>
      </c>
    </row>
    <row r="483" spans="17:19" x14ac:dyDescent="0.2">
      <c r="Q483" s="30" t="s">
        <v>600</v>
      </c>
      <c r="R483" s="71" t="s">
        <v>96</v>
      </c>
      <c r="S483" s="75" t="str">
        <f t="shared" si="7"/>
        <v>GA_MERIWETHER</v>
      </c>
    </row>
    <row r="484" spans="17:19" x14ac:dyDescent="0.2">
      <c r="Q484" s="31" t="s">
        <v>337</v>
      </c>
      <c r="R484" s="72" t="s">
        <v>96</v>
      </c>
      <c r="S484" s="75" t="str">
        <f t="shared" si="7"/>
        <v>GA_MILLER</v>
      </c>
    </row>
    <row r="485" spans="17:19" x14ac:dyDescent="0.2">
      <c r="Q485" s="30" t="s">
        <v>601</v>
      </c>
      <c r="R485" s="71" t="s">
        <v>96</v>
      </c>
      <c r="S485" s="75" t="str">
        <f t="shared" si="7"/>
        <v>GA_MITCHELL</v>
      </c>
    </row>
    <row r="486" spans="17:19" x14ac:dyDescent="0.2">
      <c r="Q486" s="31" t="s">
        <v>246</v>
      </c>
      <c r="R486" s="72" t="s">
        <v>96</v>
      </c>
      <c r="S486" s="75" t="str">
        <f t="shared" si="7"/>
        <v>GA_MONROE</v>
      </c>
    </row>
    <row r="487" spans="17:19" x14ac:dyDescent="0.2">
      <c r="Q487" s="30" t="s">
        <v>247</v>
      </c>
      <c r="R487" s="71" t="s">
        <v>96</v>
      </c>
      <c r="S487" s="75" t="str">
        <f t="shared" si="7"/>
        <v>GA_MONTGOMERY</v>
      </c>
    </row>
    <row r="488" spans="17:19" x14ac:dyDescent="0.2">
      <c r="Q488" s="31" t="s">
        <v>248</v>
      </c>
      <c r="R488" s="72" t="s">
        <v>96</v>
      </c>
      <c r="S488" s="75" t="str">
        <f t="shared" si="7"/>
        <v>GA_MORGAN</v>
      </c>
    </row>
    <row r="489" spans="17:19" x14ac:dyDescent="0.2">
      <c r="Q489" s="30" t="s">
        <v>602</v>
      </c>
      <c r="R489" s="71" t="s">
        <v>96</v>
      </c>
      <c r="S489" s="75" t="str">
        <f t="shared" si="7"/>
        <v>GA_MURRAY</v>
      </c>
    </row>
    <row r="490" spans="17:19" x14ac:dyDescent="0.2">
      <c r="Q490" s="31" t="s">
        <v>603</v>
      </c>
      <c r="R490" s="72" t="s">
        <v>96</v>
      </c>
      <c r="S490" s="75" t="str">
        <f t="shared" si="7"/>
        <v>GA_MUSCOGEE</v>
      </c>
    </row>
    <row r="491" spans="17:19" x14ac:dyDescent="0.2">
      <c r="Q491" s="30" t="s">
        <v>340</v>
      </c>
      <c r="R491" s="71" t="s">
        <v>96</v>
      </c>
      <c r="S491" s="75" t="str">
        <f t="shared" si="7"/>
        <v>GA_NEWTON</v>
      </c>
    </row>
    <row r="492" spans="17:19" x14ac:dyDescent="0.2">
      <c r="Q492" s="31" t="s">
        <v>604</v>
      </c>
      <c r="R492" s="72" t="s">
        <v>96</v>
      </c>
      <c r="S492" s="75" t="str">
        <f t="shared" si="7"/>
        <v>GA_OCONEE</v>
      </c>
    </row>
    <row r="493" spans="17:19" x14ac:dyDescent="0.2">
      <c r="Q493" s="30" t="s">
        <v>605</v>
      </c>
      <c r="R493" s="71" t="s">
        <v>96</v>
      </c>
      <c r="S493" s="75" t="str">
        <f t="shared" si="7"/>
        <v>GA_OGLETHORPE</v>
      </c>
    </row>
    <row r="494" spans="17:19" x14ac:dyDescent="0.2">
      <c r="Q494" s="31" t="s">
        <v>606</v>
      </c>
      <c r="R494" s="72" t="s">
        <v>96</v>
      </c>
      <c r="S494" s="75" t="str">
        <f t="shared" si="7"/>
        <v>GA_PAULDING</v>
      </c>
    </row>
    <row r="495" spans="17:19" x14ac:dyDescent="0.2">
      <c r="Q495" s="30" t="s">
        <v>607</v>
      </c>
      <c r="R495" s="71" t="s">
        <v>96</v>
      </c>
      <c r="S495" s="75" t="str">
        <f t="shared" si="7"/>
        <v>GA_PEACH</v>
      </c>
    </row>
    <row r="496" spans="17:19" x14ac:dyDescent="0.2">
      <c r="Q496" s="31" t="s">
        <v>250</v>
      </c>
      <c r="R496" s="72" t="s">
        <v>96</v>
      </c>
      <c r="S496" s="75" t="str">
        <f t="shared" si="7"/>
        <v>GA_PICKENS</v>
      </c>
    </row>
    <row r="497" spans="17:19" x14ac:dyDescent="0.2">
      <c r="Q497" s="30" t="s">
        <v>608</v>
      </c>
      <c r="R497" s="71" t="s">
        <v>96</v>
      </c>
      <c r="S497" s="75" t="str">
        <f t="shared" si="7"/>
        <v>GA_PIERCE</v>
      </c>
    </row>
    <row r="498" spans="17:19" x14ac:dyDescent="0.2">
      <c r="Q498" s="31" t="s">
        <v>251</v>
      </c>
      <c r="R498" s="72" t="s">
        <v>96</v>
      </c>
      <c r="S498" s="75" t="str">
        <f t="shared" si="7"/>
        <v>GA_PIKE</v>
      </c>
    </row>
    <row r="499" spans="17:19" x14ac:dyDescent="0.2">
      <c r="Q499" s="30" t="s">
        <v>344</v>
      </c>
      <c r="R499" s="71" t="s">
        <v>96</v>
      </c>
      <c r="S499" s="75" t="str">
        <f t="shared" si="7"/>
        <v>GA_POLK</v>
      </c>
    </row>
    <row r="500" spans="17:19" x14ac:dyDescent="0.2">
      <c r="Q500" s="31" t="s">
        <v>347</v>
      </c>
      <c r="R500" s="72" t="s">
        <v>96</v>
      </c>
      <c r="S500" s="75" t="str">
        <f t="shared" si="7"/>
        <v>GA_PULASKI</v>
      </c>
    </row>
    <row r="501" spans="17:19" x14ac:dyDescent="0.2">
      <c r="Q501" s="30" t="s">
        <v>522</v>
      </c>
      <c r="R501" s="71" t="s">
        <v>96</v>
      </c>
      <c r="S501" s="75" t="str">
        <f t="shared" si="7"/>
        <v>GA_PUTNAM</v>
      </c>
    </row>
    <row r="502" spans="17:19" x14ac:dyDescent="0.2">
      <c r="Q502" s="31" t="s">
        <v>609</v>
      </c>
      <c r="R502" s="72" t="s">
        <v>96</v>
      </c>
      <c r="S502" s="75" t="str">
        <f t="shared" si="7"/>
        <v>GA_QUITMAN</v>
      </c>
    </row>
    <row r="503" spans="17:19" x14ac:dyDescent="0.2">
      <c r="Q503" s="30" t="s">
        <v>610</v>
      </c>
      <c r="R503" s="71" t="s">
        <v>96</v>
      </c>
      <c r="S503" s="75" t="str">
        <f t="shared" si="7"/>
        <v>GA_RABUN</v>
      </c>
    </row>
    <row r="504" spans="17:19" x14ac:dyDescent="0.2">
      <c r="Q504" s="31" t="s">
        <v>252</v>
      </c>
      <c r="R504" s="72" t="s">
        <v>96</v>
      </c>
      <c r="S504" s="75" t="str">
        <f t="shared" si="7"/>
        <v>GA_RANDOLPH</v>
      </c>
    </row>
    <row r="505" spans="17:19" x14ac:dyDescent="0.2">
      <c r="Q505" s="30" t="s">
        <v>611</v>
      </c>
      <c r="R505" s="71" t="s">
        <v>96</v>
      </c>
      <c r="S505" s="75" t="str">
        <f t="shared" si="7"/>
        <v>GA_RICHMOND</v>
      </c>
    </row>
    <row r="506" spans="17:19" x14ac:dyDescent="0.2">
      <c r="Q506" s="31" t="s">
        <v>612</v>
      </c>
      <c r="R506" s="72" t="s">
        <v>96</v>
      </c>
      <c r="S506" s="75" t="str">
        <f t="shared" si="7"/>
        <v>GA_ROCKDALE</v>
      </c>
    </row>
    <row r="507" spans="17:19" x14ac:dyDescent="0.2">
      <c r="Q507" s="30" t="s">
        <v>613</v>
      </c>
      <c r="R507" s="71" t="s">
        <v>96</v>
      </c>
      <c r="S507" s="75" t="str">
        <f t="shared" si="7"/>
        <v>GA_SCHLEY</v>
      </c>
    </row>
    <row r="508" spans="17:19" x14ac:dyDescent="0.2">
      <c r="Q508" s="31" t="s">
        <v>614</v>
      </c>
      <c r="R508" s="72" t="s">
        <v>96</v>
      </c>
      <c r="S508" s="75" t="str">
        <f t="shared" si="7"/>
        <v>GA_SCREVEN</v>
      </c>
    </row>
    <row r="509" spans="17:19" x14ac:dyDescent="0.2">
      <c r="Q509" s="30" t="s">
        <v>527</v>
      </c>
      <c r="R509" s="71" t="s">
        <v>96</v>
      </c>
      <c r="S509" s="75" t="str">
        <f t="shared" si="7"/>
        <v>GA_SEMINOLE</v>
      </c>
    </row>
    <row r="510" spans="17:19" x14ac:dyDescent="0.2">
      <c r="Q510" s="31" t="s">
        <v>615</v>
      </c>
      <c r="R510" s="72" t="s">
        <v>96</v>
      </c>
      <c r="S510" s="75" t="str">
        <f t="shared" si="7"/>
        <v>GA_SPALDING</v>
      </c>
    </row>
    <row r="511" spans="17:19" x14ac:dyDescent="0.2">
      <c r="Q511" s="30" t="s">
        <v>616</v>
      </c>
      <c r="R511" s="71" t="s">
        <v>96</v>
      </c>
      <c r="S511" s="75" t="str">
        <f t="shared" si="7"/>
        <v>GA_STEPHENS</v>
      </c>
    </row>
    <row r="512" spans="17:19" x14ac:dyDescent="0.2">
      <c r="Q512" s="31" t="s">
        <v>617</v>
      </c>
      <c r="R512" s="72" t="s">
        <v>96</v>
      </c>
      <c r="S512" s="75" t="str">
        <f t="shared" si="7"/>
        <v>GA_STEWART</v>
      </c>
    </row>
    <row r="513" spans="17:19" x14ac:dyDescent="0.2">
      <c r="Q513" s="30" t="s">
        <v>256</v>
      </c>
      <c r="R513" s="71" t="s">
        <v>96</v>
      </c>
      <c r="S513" s="75" t="str">
        <f t="shared" si="7"/>
        <v>GA_SUMTER</v>
      </c>
    </row>
    <row r="514" spans="17:19" x14ac:dyDescent="0.2">
      <c r="Q514" s="31" t="s">
        <v>618</v>
      </c>
      <c r="R514" s="72" t="s">
        <v>96</v>
      </c>
      <c r="S514" s="75" t="str">
        <f t="shared" si="7"/>
        <v>GA_TALBOT</v>
      </c>
    </row>
    <row r="515" spans="17:19" x14ac:dyDescent="0.2">
      <c r="Q515" s="30" t="s">
        <v>619</v>
      </c>
      <c r="R515" s="71" t="s">
        <v>96</v>
      </c>
      <c r="S515" s="75" t="str">
        <f t="shared" si="7"/>
        <v>GA_TALIAFERRO</v>
      </c>
    </row>
    <row r="516" spans="17:19" x14ac:dyDescent="0.2">
      <c r="Q516" s="31" t="s">
        <v>620</v>
      </c>
      <c r="R516" s="72" t="s">
        <v>96</v>
      </c>
      <c r="S516" s="75" t="str">
        <f t="shared" ref="S516:S579" si="8">UPPER(CONCATENATE(TRIM(R516),"_",TRIM(Q516)))</f>
        <v>GA_TATTNALL</v>
      </c>
    </row>
    <row r="517" spans="17:19" x14ac:dyDescent="0.2">
      <c r="Q517" s="30" t="s">
        <v>529</v>
      </c>
      <c r="R517" s="71" t="s">
        <v>96</v>
      </c>
      <c r="S517" s="75" t="str">
        <f t="shared" si="8"/>
        <v>GA_TAYLOR</v>
      </c>
    </row>
    <row r="518" spans="17:19" x14ac:dyDescent="0.2">
      <c r="Q518" s="31" t="s">
        <v>621</v>
      </c>
      <c r="R518" s="72" t="s">
        <v>96</v>
      </c>
      <c r="S518" s="75" t="str">
        <f t="shared" si="8"/>
        <v>GA_TELFAIR</v>
      </c>
    </row>
    <row r="519" spans="17:19" x14ac:dyDescent="0.2">
      <c r="Q519" s="30" t="s">
        <v>622</v>
      </c>
      <c r="R519" s="71" t="s">
        <v>96</v>
      </c>
      <c r="S519" s="75" t="str">
        <f t="shared" si="8"/>
        <v>GA_TERRELL</v>
      </c>
    </row>
    <row r="520" spans="17:19" x14ac:dyDescent="0.2">
      <c r="Q520" s="31" t="s">
        <v>623</v>
      </c>
      <c r="R520" s="72" t="s">
        <v>96</v>
      </c>
      <c r="S520" s="75" t="str">
        <f t="shared" si="8"/>
        <v>GA_THOMAS</v>
      </c>
    </row>
    <row r="521" spans="17:19" x14ac:dyDescent="0.2">
      <c r="Q521" s="30" t="s">
        <v>624</v>
      </c>
      <c r="R521" s="71" t="s">
        <v>96</v>
      </c>
      <c r="S521" s="75" t="str">
        <f t="shared" si="8"/>
        <v>GA_TIFT</v>
      </c>
    </row>
    <row r="522" spans="17:19" x14ac:dyDescent="0.2">
      <c r="Q522" s="31" t="s">
        <v>625</v>
      </c>
      <c r="R522" s="72" t="s">
        <v>96</v>
      </c>
      <c r="S522" s="75" t="str">
        <f t="shared" si="8"/>
        <v>GA_TOOMBS</v>
      </c>
    </row>
    <row r="523" spans="17:19" x14ac:dyDescent="0.2">
      <c r="Q523" s="30" t="s">
        <v>626</v>
      </c>
      <c r="R523" s="71" t="s">
        <v>96</v>
      </c>
      <c r="S523" s="75" t="str">
        <f t="shared" si="8"/>
        <v>GA_TOWNS</v>
      </c>
    </row>
    <row r="524" spans="17:19" x14ac:dyDescent="0.2">
      <c r="Q524" s="31" t="s">
        <v>627</v>
      </c>
      <c r="R524" s="72" t="s">
        <v>96</v>
      </c>
      <c r="S524" s="75" t="str">
        <f t="shared" si="8"/>
        <v>GA_TREUTLEN</v>
      </c>
    </row>
    <row r="525" spans="17:19" x14ac:dyDescent="0.2">
      <c r="Q525" s="30" t="s">
        <v>628</v>
      </c>
      <c r="R525" s="71" t="s">
        <v>96</v>
      </c>
      <c r="S525" s="75" t="str">
        <f t="shared" si="8"/>
        <v>GA_TROUP</v>
      </c>
    </row>
    <row r="526" spans="17:19" x14ac:dyDescent="0.2">
      <c r="Q526" s="31" t="s">
        <v>629</v>
      </c>
      <c r="R526" s="72" t="s">
        <v>96</v>
      </c>
      <c r="S526" s="75" t="str">
        <f t="shared" si="8"/>
        <v>GA_TURNER</v>
      </c>
    </row>
    <row r="527" spans="17:19" x14ac:dyDescent="0.2">
      <c r="Q527" s="30" t="s">
        <v>630</v>
      </c>
      <c r="R527" s="71" t="s">
        <v>96</v>
      </c>
      <c r="S527" s="75" t="str">
        <f t="shared" si="8"/>
        <v>GA_TWIGGS</v>
      </c>
    </row>
    <row r="528" spans="17:19" x14ac:dyDescent="0.2">
      <c r="Q528" s="31" t="s">
        <v>356</v>
      </c>
      <c r="R528" s="72" t="s">
        <v>96</v>
      </c>
      <c r="S528" s="75" t="str">
        <f t="shared" si="8"/>
        <v>GA_UNION</v>
      </c>
    </row>
    <row r="529" spans="17:19" x14ac:dyDescent="0.2">
      <c r="Q529" s="30" t="s">
        <v>631</v>
      </c>
      <c r="R529" s="71" t="s">
        <v>96</v>
      </c>
      <c r="S529" s="75" t="str">
        <f t="shared" si="8"/>
        <v>GA_UPSON</v>
      </c>
    </row>
    <row r="530" spans="17:19" x14ac:dyDescent="0.2">
      <c r="Q530" s="31" t="s">
        <v>260</v>
      </c>
      <c r="R530" s="72" t="s">
        <v>96</v>
      </c>
      <c r="S530" s="75" t="str">
        <f t="shared" si="8"/>
        <v>GA_WALKER</v>
      </c>
    </row>
    <row r="531" spans="17:19" x14ac:dyDescent="0.2">
      <c r="Q531" s="30" t="s">
        <v>532</v>
      </c>
      <c r="R531" s="71" t="s">
        <v>96</v>
      </c>
      <c r="S531" s="75" t="str">
        <f t="shared" si="8"/>
        <v>GA_WALTON</v>
      </c>
    </row>
    <row r="532" spans="17:19" x14ac:dyDescent="0.2">
      <c r="Q532" s="31" t="s">
        <v>632</v>
      </c>
      <c r="R532" s="72" t="s">
        <v>96</v>
      </c>
      <c r="S532" s="75" t="str">
        <f t="shared" si="8"/>
        <v>GA_WARE</v>
      </c>
    </row>
    <row r="533" spans="17:19" x14ac:dyDescent="0.2">
      <c r="Q533" s="30" t="s">
        <v>633</v>
      </c>
      <c r="R533" s="71" t="s">
        <v>96</v>
      </c>
      <c r="S533" s="75" t="str">
        <f t="shared" si="8"/>
        <v>GA_WARREN</v>
      </c>
    </row>
    <row r="534" spans="17:19" x14ac:dyDescent="0.2">
      <c r="Q534" s="31" t="s">
        <v>261</v>
      </c>
      <c r="R534" s="72" t="s">
        <v>96</v>
      </c>
      <c r="S534" s="75" t="str">
        <f t="shared" si="8"/>
        <v>GA_WASHINGTON</v>
      </c>
    </row>
    <row r="535" spans="17:19" x14ac:dyDescent="0.2">
      <c r="Q535" s="30" t="s">
        <v>634</v>
      </c>
      <c r="R535" s="71" t="s">
        <v>96</v>
      </c>
      <c r="S535" s="75" t="str">
        <f t="shared" si="8"/>
        <v>GA_WAYNE</v>
      </c>
    </row>
    <row r="536" spans="17:19" x14ac:dyDescent="0.2">
      <c r="Q536" s="31" t="s">
        <v>635</v>
      </c>
      <c r="R536" s="72" t="s">
        <v>96</v>
      </c>
      <c r="S536" s="75" t="str">
        <f t="shared" si="8"/>
        <v>GA_WEBSTER</v>
      </c>
    </row>
    <row r="537" spans="17:19" x14ac:dyDescent="0.2">
      <c r="Q537" s="30" t="s">
        <v>636</v>
      </c>
      <c r="R537" s="71" t="s">
        <v>96</v>
      </c>
      <c r="S537" s="75" t="str">
        <f t="shared" si="8"/>
        <v>GA_WHEELER</v>
      </c>
    </row>
    <row r="538" spans="17:19" x14ac:dyDescent="0.2">
      <c r="Q538" s="31" t="s">
        <v>358</v>
      </c>
      <c r="R538" s="72" t="s">
        <v>96</v>
      </c>
      <c r="S538" s="75" t="str">
        <f t="shared" si="8"/>
        <v>GA_WHITE</v>
      </c>
    </row>
    <row r="539" spans="17:19" x14ac:dyDescent="0.2">
      <c r="Q539" s="30" t="s">
        <v>637</v>
      </c>
      <c r="R539" s="71" t="s">
        <v>96</v>
      </c>
      <c r="S539" s="75" t="str">
        <f t="shared" si="8"/>
        <v>GA_WHITFIELD</v>
      </c>
    </row>
    <row r="540" spans="17:19" x14ac:dyDescent="0.2">
      <c r="Q540" s="31" t="s">
        <v>262</v>
      </c>
      <c r="R540" s="72" t="s">
        <v>96</v>
      </c>
      <c r="S540" s="75" t="str">
        <f t="shared" si="8"/>
        <v>GA_WILCOX</v>
      </c>
    </row>
    <row r="541" spans="17:19" x14ac:dyDescent="0.2">
      <c r="Q541" s="30" t="s">
        <v>638</v>
      </c>
      <c r="R541" s="71" t="s">
        <v>96</v>
      </c>
      <c r="S541" s="75" t="str">
        <f t="shared" si="8"/>
        <v>GA_WILKES</v>
      </c>
    </row>
    <row r="542" spans="17:19" x14ac:dyDescent="0.2">
      <c r="Q542" s="31" t="s">
        <v>639</v>
      </c>
      <c r="R542" s="72" t="s">
        <v>96</v>
      </c>
      <c r="S542" s="75" t="str">
        <f t="shared" si="8"/>
        <v>GA_WILKINSON</v>
      </c>
    </row>
    <row r="543" spans="17:19" x14ac:dyDescent="0.2">
      <c r="Q543" s="30" t="s">
        <v>640</v>
      </c>
      <c r="R543" s="71" t="s">
        <v>96</v>
      </c>
      <c r="S543" s="75" t="str">
        <f t="shared" si="8"/>
        <v>GA_WORTH</v>
      </c>
    </row>
    <row r="544" spans="17:19" x14ac:dyDescent="0.2">
      <c r="Q544" s="31" t="s">
        <v>641</v>
      </c>
      <c r="R544" s="72" t="s">
        <v>95</v>
      </c>
      <c r="S544" s="75" t="str">
        <f t="shared" si="8"/>
        <v>HI_HAWAII</v>
      </c>
    </row>
    <row r="545" spans="17:19" x14ac:dyDescent="0.2">
      <c r="Q545" s="30" t="s">
        <v>642</v>
      </c>
      <c r="R545" s="71" t="s">
        <v>95</v>
      </c>
      <c r="S545" s="75" t="str">
        <f t="shared" si="8"/>
        <v>HI_HONOLULU</v>
      </c>
    </row>
    <row r="546" spans="17:19" x14ac:dyDescent="0.2">
      <c r="Q546" s="31" t="s">
        <v>643</v>
      </c>
      <c r="R546" s="72" t="s">
        <v>95</v>
      </c>
      <c r="S546" s="75" t="str">
        <f t="shared" si="8"/>
        <v>HI_KALAWAO</v>
      </c>
    </row>
    <row r="547" spans="17:19" x14ac:dyDescent="0.2">
      <c r="Q547" s="30" t="s">
        <v>644</v>
      </c>
      <c r="R547" s="71" t="s">
        <v>95</v>
      </c>
      <c r="S547" s="75" t="str">
        <f t="shared" si="8"/>
        <v>HI_KAUAI</v>
      </c>
    </row>
    <row r="548" spans="17:19" x14ac:dyDescent="0.2">
      <c r="Q548" s="31" t="s">
        <v>645</v>
      </c>
      <c r="R548" s="72" t="s">
        <v>95</v>
      </c>
      <c r="S548" s="75" t="str">
        <f t="shared" si="8"/>
        <v>HI_MAUI</v>
      </c>
    </row>
    <row r="549" spans="17:19" x14ac:dyDescent="0.2">
      <c r="Q549" s="30" t="s">
        <v>646</v>
      </c>
      <c r="R549" s="71" t="s">
        <v>94</v>
      </c>
      <c r="S549" s="75" t="str">
        <f t="shared" si="8"/>
        <v>ID_ADA</v>
      </c>
    </row>
    <row r="550" spans="17:19" x14ac:dyDescent="0.2">
      <c r="Q550" s="31" t="s">
        <v>417</v>
      </c>
      <c r="R550" s="72" t="s">
        <v>94</v>
      </c>
      <c r="S550" s="75" t="str">
        <f t="shared" si="8"/>
        <v>ID_ADAMS</v>
      </c>
    </row>
    <row r="551" spans="17:19" x14ac:dyDescent="0.2">
      <c r="Q551" s="30" t="s">
        <v>647</v>
      </c>
      <c r="R551" s="71" t="s">
        <v>94</v>
      </c>
      <c r="S551" s="75" t="str">
        <f t="shared" si="8"/>
        <v>ID_BANNOCK</v>
      </c>
    </row>
    <row r="552" spans="17:19" x14ac:dyDescent="0.2">
      <c r="Q552" s="31" t="s">
        <v>648</v>
      </c>
      <c r="R552" s="72" t="s">
        <v>94</v>
      </c>
      <c r="S552" s="75" t="str">
        <f t="shared" si="8"/>
        <v>ID_BEAR LAKE</v>
      </c>
    </row>
    <row r="553" spans="17:19" x14ac:dyDescent="0.2">
      <c r="Q553" s="30" t="s">
        <v>649</v>
      </c>
      <c r="R553" s="71" t="s">
        <v>94</v>
      </c>
      <c r="S553" s="75" t="str">
        <f t="shared" si="8"/>
        <v>ID_BENEWAH</v>
      </c>
    </row>
    <row r="554" spans="17:19" x14ac:dyDescent="0.2">
      <c r="Q554" s="31" t="s">
        <v>650</v>
      </c>
      <c r="R554" s="72" t="s">
        <v>94</v>
      </c>
      <c r="S554" s="75" t="str">
        <f t="shared" si="8"/>
        <v>ID_BINGHAM</v>
      </c>
    </row>
    <row r="555" spans="17:19" x14ac:dyDescent="0.2">
      <c r="Q555" s="30" t="s">
        <v>651</v>
      </c>
      <c r="R555" s="71" t="s">
        <v>94</v>
      </c>
      <c r="S555" s="75" t="str">
        <f t="shared" si="8"/>
        <v>ID_BLAINE</v>
      </c>
    </row>
    <row r="556" spans="17:19" x14ac:dyDescent="0.2">
      <c r="Q556" s="31" t="s">
        <v>652</v>
      </c>
      <c r="R556" s="72" t="s">
        <v>94</v>
      </c>
      <c r="S556" s="75" t="str">
        <f t="shared" si="8"/>
        <v>ID_BOISE</v>
      </c>
    </row>
    <row r="557" spans="17:19" x14ac:dyDescent="0.2">
      <c r="Q557" s="30" t="s">
        <v>653</v>
      </c>
      <c r="R557" s="71" t="s">
        <v>94</v>
      </c>
      <c r="S557" s="75" t="str">
        <f t="shared" si="8"/>
        <v>ID_BONNER</v>
      </c>
    </row>
    <row r="558" spans="17:19" x14ac:dyDescent="0.2">
      <c r="Q558" s="31" t="s">
        <v>654</v>
      </c>
      <c r="R558" s="72" t="s">
        <v>94</v>
      </c>
      <c r="S558" s="75" t="str">
        <f t="shared" si="8"/>
        <v>ID_BONNEVILLE</v>
      </c>
    </row>
    <row r="559" spans="17:19" x14ac:dyDescent="0.2">
      <c r="Q559" s="30" t="s">
        <v>655</v>
      </c>
      <c r="R559" s="71" t="s">
        <v>94</v>
      </c>
      <c r="S559" s="75" t="str">
        <f t="shared" si="8"/>
        <v>ID_BOUNDARY</v>
      </c>
    </row>
    <row r="560" spans="17:19" x14ac:dyDescent="0.2">
      <c r="Q560" s="31" t="s">
        <v>364</v>
      </c>
      <c r="R560" s="72" t="s">
        <v>94</v>
      </c>
      <c r="S560" s="75" t="str">
        <f t="shared" si="8"/>
        <v>ID_BUTTE</v>
      </c>
    </row>
    <row r="561" spans="17:19" x14ac:dyDescent="0.2">
      <c r="Q561" s="30" t="s">
        <v>656</v>
      </c>
      <c r="R561" s="71" t="s">
        <v>94</v>
      </c>
      <c r="S561" s="75" t="str">
        <f t="shared" si="8"/>
        <v>ID_CAMAS</v>
      </c>
    </row>
    <row r="562" spans="17:19" x14ac:dyDescent="0.2">
      <c r="Q562" s="31" t="s">
        <v>657</v>
      </c>
      <c r="R562" s="72" t="s">
        <v>94</v>
      </c>
      <c r="S562" s="75" t="str">
        <f t="shared" si="8"/>
        <v>ID_CANYON</v>
      </c>
    </row>
    <row r="563" spans="17:19" x14ac:dyDescent="0.2">
      <c r="Q563" s="30" t="s">
        <v>658</v>
      </c>
      <c r="R563" s="71" t="s">
        <v>94</v>
      </c>
      <c r="S563" s="75" t="str">
        <f t="shared" si="8"/>
        <v>ID_CARIBOU</v>
      </c>
    </row>
    <row r="564" spans="17:19" x14ac:dyDescent="0.2">
      <c r="Q564" s="31" t="s">
        <v>659</v>
      </c>
      <c r="R564" s="72" t="s">
        <v>94</v>
      </c>
      <c r="S564" s="75" t="str">
        <f t="shared" si="8"/>
        <v>ID_CASSIA</v>
      </c>
    </row>
    <row r="565" spans="17:19" x14ac:dyDescent="0.2">
      <c r="Q565" s="30" t="s">
        <v>312</v>
      </c>
      <c r="R565" s="71" t="s">
        <v>94</v>
      </c>
      <c r="S565" s="75" t="str">
        <f t="shared" si="8"/>
        <v>ID_CLARK</v>
      </c>
    </row>
    <row r="566" spans="17:19" x14ac:dyDescent="0.2">
      <c r="Q566" s="31" t="s">
        <v>660</v>
      </c>
      <c r="R566" s="72" t="s">
        <v>94</v>
      </c>
      <c r="S566" s="75" t="str">
        <f t="shared" si="8"/>
        <v>ID_CLEARWATER</v>
      </c>
    </row>
    <row r="567" spans="17:19" x14ac:dyDescent="0.2">
      <c r="Q567" s="30" t="s">
        <v>430</v>
      </c>
      <c r="R567" s="71" t="s">
        <v>94</v>
      </c>
      <c r="S567" s="75" t="str">
        <f t="shared" si="8"/>
        <v>ID_CUSTER</v>
      </c>
    </row>
    <row r="568" spans="17:19" x14ac:dyDescent="0.2">
      <c r="Q568" s="31" t="s">
        <v>222</v>
      </c>
      <c r="R568" s="72" t="s">
        <v>94</v>
      </c>
      <c r="S568" s="75" t="str">
        <f t="shared" si="8"/>
        <v>ID_ELMORE</v>
      </c>
    </row>
    <row r="569" spans="17:19" x14ac:dyDescent="0.2">
      <c r="Q569" s="30" t="s">
        <v>226</v>
      </c>
      <c r="R569" s="71" t="s">
        <v>94</v>
      </c>
      <c r="S569" s="75" t="str">
        <f t="shared" si="8"/>
        <v>ID_FRANKLIN</v>
      </c>
    </row>
    <row r="570" spans="17:19" x14ac:dyDescent="0.2">
      <c r="Q570" s="31" t="s">
        <v>438</v>
      </c>
      <c r="R570" s="72" t="s">
        <v>94</v>
      </c>
      <c r="S570" s="75" t="str">
        <f t="shared" si="8"/>
        <v>ID_FREMONT</v>
      </c>
    </row>
    <row r="571" spans="17:19" x14ac:dyDescent="0.2">
      <c r="Q571" s="30" t="s">
        <v>661</v>
      </c>
      <c r="R571" s="71" t="s">
        <v>94</v>
      </c>
      <c r="S571" s="75" t="str">
        <f t="shared" si="8"/>
        <v>ID_GEM</v>
      </c>
    </row>
    <row r="572" spans="17:19" x14ac:dyDescent="0.2">
      <c r="Q572" s="31" t="s">
        <v>662</v>
      </c>
      <c r="R572" s="72" t="s">
        <v>94</v>
      </c>
      <c r="S572" s="75" t="str">
        <f t="shared" si="8"/>
        <v>ID_GOODING</v>
      </c>
    </row>
    <row r="573" spans="17:19" x14ac:dyDescent="0.2">
      <c r="Q573" s="30" t="s">
        <v>663</v>
      </c>
      <c r="R573" s="71" t="s">
        <v>94</v>
      </c>
      <c r="S573" s="75" t="str">
        <f t="shared" si="8"/>
        <v>ID_IDAHO</v>
      </c>
    </row>
    <row r="574" spans="17:19" x14ac:dyDescent="0.2">
      <c r="Q574" s="31" t="s">
        <v>233</v>
      </c>
      <c r="R574" s="72" t="s">
        <v>94</v>
      </c>
      <c r="S574" s="75" t="str">
        <f t="shared" si="8"/>
        <v>ID_JEFFERSON</v>
      </c>
    </row>
    <row r="575" spans="17:19" x14ac:dyDescent="0.2">
      <c r="Q575" s="30" t="s">
        <v>664</v>
      </c>
      <c r="R575" s="71" t="s">
        <v>94</v>
      </c>
      <c r="S575" s="75" t="str">
        <f t="shared" si="8"/>
        <v>ID_JEROME</v>
      </c>
    </row>
    <row r="576" spans="17:19" x14ac:dyDescent="0.2">
      <c r="Q576" s="31" t="s">
        <v>665</v>
      </c>
      <c r="R576" s="72" t="s">
        <v>94</v>
      </c>
      <c r="S576" s="75" t="str">
        <f t="shared" si="8"/>
        <v>ID_KOOTENAI</v>
      </c>
    </row>
    <row r="577" spans="17:19" x14ac:dyDescent="0.2">
      <c r="Q577" s="30" t="s">
        <v>666</v>
      </c>
      <c r="R577" s="71" t="s">
        <v>94</v>
      </c>
      <c r="S577" s="75" t="str">
        <f t="shared" si="8"/>
        <v>ID_LATAH</v>
      </c>
    </row>
    <row r="578" spans="17:19" x14ac:dyDescent="0.2">
      <c r="Q578" s="31" t="s">
        <v>667</v>
      </c>
      <c r="R578" s="72" t="s">
        <v>94</v>
      </c>
      <c r="S578" s="75" t="str">
        <f t="shared" si="8"/>
        <v>ID_LEMHI</v>
      </c>
    </row>
    <row r="579" spans="17:19" x14ac:dyDescent="0.2">
      <c r="Q579" s="30" t="s">
        <v>668</v>
      </c>
      <c r="R579" s="71" t="s">
        <v>94</v>
      </c>
      <c r="S579" s="75" t="str">
        <f t="shared" si="8"/>
        <v>ID_LEWIS</v>
      </c>
    </row>
    <row r="580" spans="17:19" x14ac:dyDescent="0.2">
      <c r="Q580" s="31" t="s">
        <v>333</v>
      </c>
      <c r="R580" s="72" t="s">
        <v>94</v>
      </c>
      <c r="S580" s="75" t="str">
        <f t="shared" ref="S580:S643" si="9">UPPER(CONCATENATE(TRIM(R580),"_",TRIM(Q580)))</f>
        <v>ID_LINCOLN</v>
      </c>
    </row>
    <row r="581" spans="17:19" x14ac:dyDescent="0.2">
      <c r="Q581" s="30" t="s">
        <v>241</v>
      </c>
      <c r="R581" s="71" t="s">
        <v>94</v>
      </c>
      <c r="S581" s="75" t="str">
        <f t="shared" si="9"/>
        <v>ID_MADISON</v>
      </c>
    </row>
    <row r="582" spans="17:19" x14ac:dyDescent="0.2">
      <c r="Q582" s="31" t="s">
        <v>669</v>
      </c>
      <c r="R582" s="72" t="s">
        <v>94</v>
      </c>
      <c r="S582" s="75" t="str">
        <f t="shared" si="9"/>
        <v>ID_MINIDOKA</v>
      </c>
    </row>
    <row r="583" spans="17:19" x14ac:dyDescent="0.2">
      <c r="Q583" s="30" t="s">
        <v>670</v>
      </c>
      <c r="R583" s="71" t="s">
        <v>94</v>
      </c>
      <c r="S583" s="75" t="str">
        <f t="shared" si="9"/>
        <v>ID_NEZ PERCE</v>
      </c>
    </row>
    <row r="584" spans="17:19" x14ac:dyDescent="0.2">
      <c r="Q584" s="31" t="s">
        <v>671</v>
      </c>
      <c r="R584" s="72" t="s">
        <v>94</v>
      </c>
      <c r="S584" s="75" t="str">
        <f t="shared" si="9"/>
        <v>ID_ONEIDA</v>
      </c>
    </row>
    <row r="585" spans="17:19" x14ac:dyDescent="0.2">
      <c r="Q585" s="30" t="s">
        <v>672</v>
      </c>
      <c r="R585" s="71" t="s">
        <v>94</v>
      </c>
      <c r="S585" s="75" t="str">
        <f t="shared" si="9"/>
        <v>ID_OWYHEE</v>
      </c>
    </row>
    <row r="586" spans="17:19" x14ac:dyDescent="0.2">
      <c r="Q586" s="31" t="s">
        <v>673</v>
      </c>
      <c r="R586" s="72" t="s">
        <v>94</v>
      </c>
      <c r="S586" s="75" t="str">
        <f t="shared" si="9"/>
        <v>ID_PAYETTE</v>
      </c>
    </row>
    <row r="587" spans="17:19" x14ac:dyDescent="0.2">
      <c r="Q587" s="30" t="s">
        <v>674</v>
      </c>
      <c r="R587" s="71" t="s">
        <v>94</v>
      </c>
      <c r="S587" s="75" t="str">
        <f t="shared" si="9"/>
        <v>ID_POWER</v>
      </c>
    </row>
    <row r="588" spans="17:19" x14ac:dyDescent="0.2">
      <c r="Q588" s="31" t="s">
        <v>675</v>
      </c>
      <c r="R588" s="72" t="s">
        <v>94</v>
      </c>
      <c r="S588" s="75" t="str">
        <f t="shared" si="9"/>
        <v>ID_SHOSHONE</v>
      </c>
    </row>
    <row r="589" spans="17:19" x14ac:dyDescent="0.2">
      <c r="Q589" s="30" t="s">
        <v>676</v>
      </c>
      <c r="R589" s="71" t="s">
        <v>94</v>
      </c>
      <c r="S589" s="75" t="str">
        <f t="shared" si="9"/>
        <v>ID_TETON</v>
      </c>
    </row>
    <row r="590" spans="17:19" x14ac:dyDescent="0.2">
      <c r="Q590" s="31" t="s">
        <v>677</v>
      </c>
      <c r="R590" s="72" t="s">
        <v>94</v>
      </c>
      <c r="S590" s="75" t="str">
        <f t="shared" si="9"/>
        <v>ID_TWIN FALLS</v>
      </c>
    </row>
    <row r="591" spans="17:19" x14ac:dyDescent="0.2">
      <c r="Q591" s="30" t="s">
        <v>678</v>
      </c>
      <c r="R591" s="71" t="s">
        <v>94</v>
      </c>
      <c r="S591" s="75" t="str">
        <f t="shared" si="9"/>
        <v>ID_VALLEY</v>
      </c>
    </row>
    <row r="592" spans="17:19" x14ac:dyDescent="0.2">
      <c r="Q592" s="31" t="s">
        <v>261</v>
      </c>
      <c r="R592" s="72" t="s">
        <v>94</v>
      </c>
      <c r="S592" s="75" t="str">
        <f t="shared" si="9"/>
        <v>ID_WASHINGTON</v>
      </c>
    </row>
    <row r="593" spans="17:19" x14ac:dyDescent="0.2">
      <c r="Q593" s="30" t="s">
        <v>417</v>
      </c>
      <c r="R593" s="71" t="s">
        <v>93</v>
      </c>
      <c r="S593" s="75" t="str">
        <f t="shared" si="9"/>
        <v>IL_ADAMS</v>
      </c>
    </row>
    <row r="594" spans="17:19" x14ac:dyDescent="0.2">
      <c r="Q594" s="31" t="s">
        <v>679</v>
      </c>
      <c r="R594" s="72" t="s">
        <v>93</v>
      </c>
      <c r="S594" s="75" t="str">
        <f t="shared" si="9"/>
        <v>IL_ALEXANDER</v>
      </c>
    </row>
    <row r="595" spans="17:19" x14ac:dyDescent="0.2">
      <c r="Q595" s="30" t="s">
        <v>680</v>
      </c>
      <c r="R595" s="71" t="s">
        <v>93</v>
      </c>
      <c r="S595" s="75" t="str">
        <f t="shared" si="9"/>
        <v>IL_BOND</v>
      </c>
    </row>
    <row r="596" spans="17:19" x14ac:dyDescent="0.2">
      <c r="Q596" s="31" t="s">
        <v>308</v>
      </c>
      <c r="R596" s="72" t="s">
        <v>93</v>
      </c>
      <c r="S596" s="75" t="str">
        <f t="shared" si="9"/>
        <v>IL_BOONE</v>
      </c>
    </row>
    <row r="597" spans="17:19" x14ac:dyDescent="0.2">
      <c r="Q597" s="30" t="s">
        <v>681</v>
      </c>
      <c r="R597" s="71" t="s">
        <v>93</v>
      </c>
      <c r="S597" s="75" t="str">
        <f t="shared" si="9"/>
        <v>IL_BROWN</v>
      </c>
    </row>
    <row r="598" spans="17:19" x14ac:dyDescent="0.2">
      <c r="Q598" s="31" t="s">
        <v>682</v>
      </c>
      <c r="R598" s="72" t="s">
        <v>93</v>
      </c>
      <c r="S598" s="75" t="str">
        <f t="shared" si="9"/>
        <v>IL_BUREAU</v>
      </c>
    </row>
    <row r="599" spans="17:19" x14ac:dyDescent="0.2">
      <c r="Q599" s="30" t="s">
        <v>204</v>
      </c>
      <c r="R599" s="71" t="s">
        <v>93</v>
      </c>
      <c r="S599" s="75" t="str">
        <f t="shared" si="9"/>
        <v>IL_CALHOUN</v>
      </c>
    </row>
    <row r="600" spans="17:19" x14ac:dyDescent="0.2">
      <c r="Q600" s="31" t="s">
        <v>310</v>
      </c>
      <c r="R600" s="72" t="s">
        <v>93</v>
      </c>
      <c r="S600" s="75" t="str">
        <f t="shared" si="9"/>
        <v>IL_CARROLL</v>
      </c>
    </row>
    <row r="601" spans="17:19" x14ac:dyDescent="0.2">
      <c r="Q601" s="30" t="s">
        <v>683</v>
      </c>
      <c r="R601" s="71" t="s">
        <v>93</v>
      </c>
      <c r="S601" s="75" t="str">
        <f t="shared" si="9"/>
        <v>IL_CASS</v>
      </c>
    </row>
    <row r="602" spans="17:19" x14ac:dyDescent="0.2">
      <c r="Q602" s="31" t="s">
        <v>684</v>
      </c>
      <c r="R602" s="72" t="s">
        <v>93</v>
      </c>
      <c r="S602" s="75" t="str">
        <f t="shared" si="9"/>
        <v>IL_CHAMPAIGN</v>
      </c>
    </row>
    <row r="603" spans="17:19" x14ac:dyDescent="0.2">
      <c r="Q603" s="30" t="s">
        <v>685</v>
      </c>
      <c r="R603" s="71" t="s">
        <v>93</v>
      </c>
      <c r="S603" s="75" t="str">
        <f t="shared" si="9"/>
        <v>IL_CHRISTIAN</v>
      </c>
    </row>
    <row r="604" spans="17:19" x14ac:dyDescent="0.2">
      <c r="Q604" s="31" t="s">
        <v>312</v>
      </c>
      <c r="R604" s="72" t="s">
        <v>93</v>
      </c>
      <c r="S604" s="75" t="str">
        <f t="shared" si="9"/>
        <v>IL_CLARK</v>
      </c>
    </row>
    <row r="605" spans="17:19" x14ac:dyDescent="0.2">
      <c r="Q605" s="30" t="s">
        <v>210</v>
      </c>
      <c r="R605" s="71" t="s">
        <v>93</v>
      </c>
      <c r="S605" s="75" t="str">
        <f t="shared" si="9"/>
        <v>IL_CLAY</v>
      </c>
    </row>
    <row r="606" spans="17:19" x14ac:dyDescent="0.2">
      <c r="Q606" s="31" t="s">
        <v>686</v>
      </c>
      <c r="R606" s="72" t="s">
        <v>93</v>
      </c>
      <c r="S606" s="75" t="str">
        <f t="shared" si="9"/>
        <v>IL_CLINTON</v>
      </c>
    </row>
    <row r="607" spans="17:19" x14ac:dyDescent="0.2">
      <c r="Q607" s="30" t="s">
        <v>687</v>
      </c>
      <c r="R607" s="71" t="s">
        <v>93</v>
      </c>
      <c r="S607" s="75" t="str">
        <f t="shared" si="9"/>
        <v>IL_COLES</v>
      </c>
    </row>
    <row r="608" spans="17:19" x14ac:dyDescent="0.2">
      <c r="Q608" s="31" t="s">
        <v>559</v>
      </c>
      <c r="R608" s="72" t="s">
        <v>93</v>
      </c>
      <c r="S608" s="75" t="str">
        <f t="shared" si="9"/>
        <v>IL_COOK</v>
      </c>
    </row>
    <row r="609" spans="17:19" x14ac:dyDescent="0.2">
      <c r="Q609" s="30" t="s">
        <v>317</v>
      </c>
      <c r="R609" s="71" t="s">
        <v>93</v>
      </c>
      <c r="S609" s="75" t="str">
        <f t="shared" si="9"/>
        <v>IL_CRAWFORD</v>
      </c>
    </row>
    <row r="610" spans="17:19" x14ac:dyDescent="0.2">
      <c r="Q610" s="31" t="s">
        <v>688</v>
      </c>
      <c r="R610" s="72" t="s">
        <v>93</v>
      </c>
      <c r="S610" s="75" t="str">
        <f t="shared" si="9"/>
        <v>IL_CUMBERLAND</v>
      </c>
    </row>
    <row r="611" spans="17:19" x14ac:dyDescent="0.2">
      <c r="Q611" s="30" t="s">
        <v>221</v>
      </c>
      <c r="R611" s="71" t="s">
        <v>93</v>
      </c>
      <c r="S611" s="75" t="str">
        <f t="shared" si="9"/>
        <v>IL_DEKALB</v>
      </c>
    </row>
    <row r="612" spans="17:19" x14ac:dyDescent="0.2">
      <c r="Q612" s="31" t="s">
        <v>689</v>
      </c>
      <c r="R612" s="72" t="s">
        <v>93</v>
      </c>
      <c r="S612" s="75" t="str">
        <f t="shared" si="9"/>
        <v>IL_DE WITT</v>
      </c>
    </row>
    <row r="613" spans="17:19" x14ac:dyDescent="0.2">
      <c r="Q613" s="30" t="s">
        <v>434</v>
      </c>
      <c r="R613" s="71" t="s">
        <v>93</v>
      </c>
      <c r="S613" s="75" t="str">
        <f t="shared" si="9"/>
        <v>IL_DOUGLAS</v>
      </c>
    </row>
    <row r="614" spans="17:19" x14ac:dyDescent="0.2">
      <c r="Q614" s="31" t="s">
        <v>690</v>
      </c>
      <c r="R614" s="72" t="s">
        <v>93</v>
      </c>
      <c r="S614" s="75" t="str">
        <f t="shared" si="9"/>
        <v>IL_DU PAGE</v>
      </c>
    </row>
    <row r="615" spans="17:19" x14ac:dyDescent="0.2">
      <c r="Q615" s="30" t="s">
        <v>691</v>
      </c>
      <c r="R615" s="71" t="s">
        <v>93</v>
      </c>
      <c r="S615" s="75" t="str">
        <f t="shared" si="9"/>
        <v>IL_EDGAR</v>
      </c>
    </row>
    <row r="616" spans="17:19" x14ac:dyDescent="0.2">
      <c r="Q616" s="31" t="s">
        <v>692</v>
      </c>
      <c r="R616" s="72" t="s">
        <v>93</v>
      </c>
      <c r="S616" s="75" t="str">
        <f t="shared" si="9"/>
        <v>IL_EDWARDS</v>
      </c>
    </row>
    <row r="617" spans="17:19" x14ac:dyDescent="0.2">
      <c r="Q617" s="30" t="s">
        <v>570</v>
      </c>
      <c r="R617" s="71" t="s">
        <v>93</v>
      </c>
      <c r="S617" s="75" t="str">
        <f t="shared" si="9"/>
        <v>IL_EFFINGHAM</v>
      </c>
    </row>
    <row r="618" spans="17:19" x14ac:dyDescent="0.2">
      <c r="Q618" s="31" t="s">
        <v>225</v>
      </c>
      <c r="R618" s="72" t="s">
        <v>93</v>
      </c>
      <c r="S618" s="75" t="str">
        <f t="shared" si="9"/>
        <v>IL_FAYETTE</v>
      </c>
    </row>
    <row r="619" spans="17:19" x14ac:dyDescent="0.2">
      <c r="Q619" s="30" t="s">
        <v>693</v>
      </c>
      <c r="R619" s="71" t="s">
        <v>93</v>
      </c>
      <c r="S619" s="75" t="str">
        <f t="shared" si="9"/>
        <v>IL_FORD</v>
      </c>
    </row>
    <row r="620" spans="17:19" x14ac:dyDescent="0.2">
      <c r="Q620" s="31" t="s">
        <v>226</v>
      </c>
      <c r="R620" s="72" t="s">
        <v>93</v>
      </c>
      <c r="S620" s="75" t="str">
        <f t="shared" si="9"/>
        <v>IL_FRANKLIN</v>
      </c>
    </row>
    <row r="621" spans="17:19" x14ac:dyDescent="0.2">
      <c r="Q621" s="30" t="s">
        <v>323</v>
      </c>
      <c r="R621" s="71" t="s">
        <v>93</v>
      </c>
      <c r="S621" s="75" t="str">
        <f t="shared" si="9"/>
        <v>IL_FULTON</v>
      </c>
    </row>
    <row r="622" spans="17:19" x14ac:dyDescent="0.2">
      <c r="Q622" s="31" t="s">
        <v>694</v>
      </c>
      <c r="R622" s="72" t="s">
        <v>93</v>
      </c>
      <c r="S622" s="75" t="str">
        <f t="shared" si="9"/>
        <v>IL_GALLATIN</v>
      </c>
    </row>
    <row r="623" spans="17:19" x14ac:dyDescent="0.2">
      <c r="Q623" s="30" t="s">
        <v>228</v>
      </c>
      <c r="R623" s="71" t="s">
        <v>93</v>
      </c>
      <c r="S623" s="75" t="str">
        <f t="shared" si="9"/>
        <v>IL_GREENE</v>
      </c>
    </row>
    <row r="624" spans="17:19" x14ac:dyDescent="0.2">
      <c r="Q624" s="31" t="s">
        <v>695</v>
      </c>
      <c r="R624" s="72" t="s">
        <v>93</v>
      </c>
      <c r="S624" s="75" t="str">
        <f t="shared" si="9"/>
        <v>IL_GRUNDY</v>
      </c>
    </row>
    <row r="625" spans="17:19" x14ac:dyDescent="0.2">
      <c r="Q625" s="30" t="s">
        <v>502</v>
      </c>
      <c r="R625" s="71" t="s">
        <v>93</v>
      </c>
      <c r="S625" s="75" t="str">
        <f t="shared" si="9"/>
        <v>IL_HAMILTON</v>
      </c>
    </row>
    <row r="626" spans="17:19" x14ac:dyDescent="0.2">
      <c r="Q626" s="31" t="s">
        <v>584</v>
      </c>
      <c r="R626" s="72" t="s">
        <v>93</v>
      </c>
      <c r="S626" s="75" t="str">
        <f t="shared" si="9"/>
        <v>IL_HANCOCK</v>
      </c>
    </row>
    <row r="627" spans="17:19" x14ac:dyDescent="0.2">
      <c r="Q627" s="30" t="s">
        <v>696</v>
      </c>
      <c r="R627" s="71" t="s">
        <v>93</v>
      </c>
      <c r="S627" s="75" t="str">
        <f t="shared" si="9"/>
        <v>IL_HARDIN</v>
      </c>
    </row>
    <row r="628" spans="17:19" x14ac:dyDescent="0.2">
      <c r="Q628" s="31" t="s">
        <v>697</v>
      </c>
      <c r="R628" s="72" t="s">
        <v>93</v>
      </c>
      <c r="S628" s="75" t="str">
        <f t="shared" si="9"/>
        <v>IL_HENDERSON</v>
      </c>
    </row>
    <row r="629" spans="17:19" x14ac:dyDescent="0.2">
      <c r="Q629" s="30" t="s">
        <v>230</v>
      </c>
      <c r="R629" s="71" t="s">
        <v>93</v>
      </c>
      <c r="S629" s="75" t="str">
        <f t="shared" si="9"/>
        <v>IL_HENRY</v>
      </c>
    </row>
    <row r="630" spans="17:19" x14ac:dyDescent="0.2">
      <c r="Q630" s="31" t="s">
        <v>698</v>
      </c>
      <c r="R630" s="72" t="s">
        <v>93</v>
      </c>
      <c r="S630" s="75" t="str">
        <f t="shared" si="9"/>
        <v>IL_IROQUOIS</v>
      </c>
    </row>
    <row r="631" spans="17:19" x14ac:dyDescent="0.2">
      <c r="Q631" s="30" t="s">
        <v>232</v>
      </c>
      <c r="R631" s="71" t="s">
        <v>93</v>
      </c>
      <c r="S631" s="75" t="str">
        <f t="shared" si="9"/>
        <v>IL_JACKSON</v>
      </c>
    </row>
    <row r="632" spans="17:19" x14ac:dyDescent="0.2">
      <c r="Q632" s="31" t="s">
        <v>590</v>
      </c>
      <c r="R632" s="72" t="s">
        <v>93</v>
      </c>
      <c r="S632" s="75" t="str">
        <f t="shared" si="9"/>
        <v>IL_JASPER</v>
      </c>
    </row>
    <row r="633" spans="17:19" x14ac:dyDescent="0.2">
      <c r="Q633" s="30" t="s">
        <v>233</v>
      </c>
      <c r="R633" s="71" t="s">
        <v>93</v>
      </c>
      <c r="S633" s="75" t="str">
        <f t="shared" si="9"/>
        <v>IL_JEFFERSON</v>
      </c>
    </row>
    <row r="634" spans="17:19" x14ac:dyDescent="0.2">
      <c r="Q634" s="31" t="s">
        <v>699</v>
      </c>
      <c r="R634" s="72" t="s">
        <v>93</v>
      </c>
      <c r="S634" s="75" t="str">
        <f t="shared" si="9"/>
        <v>IL_JERSEY</v>
      </c>
    </row>
    <row r="635" spans="17:19" x14ac:dyDescent="0.2">
      <c r="Q635" s="30" t="s">
        <v>700</v>
      </c>
      <c r="R635" s="71" t="s">
        <v>93</v>
      </c>
      <c r="S635" s="75" t="str">
        <f t="shared" si="9"/>
        <v>IL_JO DAVIESS</v>
      </c>
    </row>
    <row r="636" spans="17:19" x14ac:dyDescent="0.2">
      <c r="Q636" s="31" t="s">
        <v>331</v>
      </c>
      <c r="R636" s="72" t="s">
        <v>93</v>
      </c>
      <c r="S636" s="75" t="str">
        <f t="shared" si="9"/>
        <v>IL_JOHNSON</v>
      </c>
    </row>
    <row r="637" spans="17:19" x14ac:dyDescent="0.2">
      <c r="Q637" s="30" t="s">
        <v>701</v>
      </c>
      <c r="R637" s="71" t="s">
        <v>93</v>
      </c>
      <c r="S637" s="75" t="str">
        <f t="shared" si="9"/>
        <v>IL_KANE</v>
      </c>
    </row>
    <row r="638" spans="17:19" x14ac:dyDescent="0.2">
      <c r="Q638" s="31" t="s">
        <v>702</v>
      </c>
      <c r="R638" s="72" t="s">
        <v>93</v>
      </c>
      <c r="S638" s="75" t="str">
        <f t="shared" si="9"/>
        <v>IL_KANKAKEE</v>
      </c>
    </row>
    <row r="639" spans="17:19" x14ac:dyDescent="0.2">
      <c r="Q639" s="30" t="s">
        <v>703</v>
      </c>
      <c r="R639" s="71" t="s">
        <v>93</v>
      </c>
      <c r="S639" s="75" t="str">
        <f t="shared" si="9"/>
        <v>IL_KENDALL</v>
      </c>
    </row>
    <row r="640" spans="17:19" x14ac:dyDescent="0.2">
      <c r="Q640" s="31" t="s">
        <v>704</v>
      </c>
      <c r="R640" s="72" t="s">
        <v>93</v>
      </c>
      <c r="S640" s="75" t="str">
        <f t="shared" si="9"/>
        <v>IL_KNOX</v>
      </c>
    </row>
    <row r="641" spans="17:19" x14ac:dyDescent="0.2">
      <c r="Q641" s="30" t="s">
        <v>377</v>
      </c>
      <c r="R641" s="71" t="s">
        <v>93</v>
      </c>
      <c r="S641" s="75" t="str">
        <f t="shared" si="9"/>
        <v>IL_LAKE</v>
      </c>
    </row>
    <row r="642" spans="17:19" x14ac:dyDescent="0.2">
      <c r="Q642" s="31" t="s">
        <v>705</v>
      </c>
      <c r="R642" s="72" t="s">
        <v>93</v>
      </c>
      <c r="S642" s="75" t="str">
        <f t="shared" si="9"/>
        <v>IL_LA SALLE</v>
      </c>
    </row>
    <row r="643" spans="17:19" x14ac:dyDescent="0.2">
      <c r="Q643" s="30" t="s">
        <v>236</v>
      </c>
      <c r="R643" s="71" t="s">
        <v>93</v>
      </c>
      <c r="S643" s="75" t="str">
        <f t="shared" si="9"/>
        <v>IL_LAWRENCE</v>
      </c>
    </row>
    <row r="644" spans="17:19" x14ac:dyDescent="0.2">
      <c r="Q644" s="31" t="s">
        <v>237</v>
      </c>
      <c r="R644" s="72" t="s">
        <v>93</v>
      </c>
      <c r="S644" s="75" t="str">
        <f t="shared" ref="S644:S707" si="10">UPPER(CONCATENATE(TRIM(R644),"_",TRIM(Q644)))</f>
        <v>IL_LEE</v>
      </c>
    </row>
    <row r="645" spans="17:19" x14ac:dyDescent="0.2">
      <c r="Q645" s="30" t="s">
        <v>706</v>
      </c>
      <c r="R645" s="71" t="s">
        <v>93</v>
      </c>
      <c r="S645" s="75" t="str">
        <f t="shared" si="10"/>
        <v>IL_LIVINGSTON</v>
      </c>
    </row>
    <row r="646" spans="17:19" x14ac:dyDescent="0.2">
      <c r="Q646" s="31" t="s">
        <v>335</v>
      </c>
      <c r="R646" s="72" t="s">
        <v>93</v>
      </c>
      <c r="S646" s="75" t="str">
        <f t="shared" si="10"/>
        <v>IL_LOGAN</v>
      </c>
    </row>
    <row r="647" spans="17:19" x14ac:dyDescent="0.2">
      <c r="Q647" s="30" t="s">
        <v>707</v>
      </c>
      <c r="R647" s="71" t="s">
        <v>93</v>
      </c>
      <c r="S647" s="75" t="str">
        <f t="shared" si="10"/>
        <v>IL_MCDONOUGH</v>
      </c>
    </row>
    <row r="648" spans="17:19" x14ac:dyDescent="0.2">
      <c r="Q648" s="31" t="s">
        <v>708</v>
      </c>
      <c r="R648" s="72" t="s">
        <v>93</v>
      </c>
      <c r="S648" s="75" t="str">
        <f t="shared" si="10"/>
        <v>IL_MCHENRY</v>
      </c>
    </row>
    <row r="649" spans="17:19" x14ac:dyDescent="0.2">
      <c r="Q649" s="30" t="s">
        <v>709</v>
      </c>
      <c r="R649" s="71" t="s">
        <v>93</v>
      </c>
      <c r="S649" s="75" t="str">
        <f t="shared" si="10"/>
        <v>IL_MCLEAN</v>
      </c>
    </row>
    <row r="650" spans="17:19" x14ac:dyDescent="0.2">
      <c r="Q650" s="31" t="s">
        <v>240</v>
      </c>
      <c r="R650" s="72" t="s">
        <v>93</v>
      </c>
      <c r="S650" s="75" t="str">
        <f t="shared" si="10"/>
        <v>IL_MACON</v>
      </c>
    </row>
    <row r="651" spans="17:19" x14ac:dyDescent="0.2">
      <c r="Q651" s="30" t="s">
        <v>710</v>
      </c>
      <c r="R651" s="71" t="s">
        <v>93</v>
      </c>
      <c r="S651" s="75" t="str">
        <f t="shared" si="10"/>
        <v>IL_MACOUPIN</v>
      </c>
    </row>
    <row r="652" spans="17:19" x14ac:dyDescent="0.2">
      <c r="Q652" s="31" t="s">
        <v>241</v>
      </c>
      <c r="R652" s="72" t="s">
        <v>93</v>
      </c>
      <c r="S652" s="75" t="str">
        <f t="shared" si="10"/>
        <v>IL_MADISON</v>
      </c>
    </row>
    <row r="653" spans="17:19" x14ac:dyDescent="0.2">
      <c r="Q653" s="30" t="s">
        <v>243</v>
      </c>
      <c r="R653" s="71" t="s">
        <v>93</v>
      </c>
      <c r="S653" s="75" t="str">
        <f t="shared" si="10"/>
        <v>IL_MARION</v>
      </c>
    </row>
    <row r="654" spans="17:19" x14ac:dyDescent="0.2">
      <c r="Q654" s="31" t="s">
        <v>244</v>
      </c>
      <c r="R654" s="72" t="s">
        <v>93</v>
      </c>
      <c r="S654" s="75" t="str">
        <f t="shared" si="10"/>
        <v>IL_MARSHALL</v>
      </c>
    </row>
    <row r="655" spans="17:19" x14ac:dyDescent="0.2">
      <c r="Q655" s="30" t="s">
        <v>711</v>
      </c>
      <c r="R655" s="71" t="s">
        <v>93</v>
      </c>
      <c r="S655" s="75" t="str">
        <f t="shared" si="10"/>
        <v>IL_MASON</v>
      </c>
    </row>
    <row r="656" spans="17:19" x14ac:dyDescent="0.2">
      <c r="Q656" s="31" t="s">
        <v>712</v>
      </c>
      <c r="R656" s="72" t="s">
        <v>93</v>
      </c>
      <c r="S656" s="75" t="str">
        <f t="shared" si="10"/>
        <v>IL_MASSAC</v>
      </c>
    </row>
    <row r="657" spans="17:19" x14ac:dyDescent="0.2">
      <c r="Q657" s="30" t="s">
        <v>713</v>
      </c>
      <c r="R657" s="71" t="s">
        <v>93</v>
      </c>
      <c r="S657" s="75" t="str">
        <f t="shared" si="10"/>
        <v>IL_MENARD</v>
      </c>
    </row>
    <row r="658" spans="17:19" x14ac:dyDescent="0.2">
      <c r="Q658" s="31" t="s">
        <v>714</v>
      </c>
      <c r="R658" s="72" t="s">
        <v>93</v>
      </c>
      <c r="S658" s="75" t="str">
        <f t="shared" si="10"/>
        <v>IL_MERCER</v>
      </c>
    </row>
    <row r="659" spans="17:19" x14ac:dyDescent="0.2">
      <c r="Q659" s="30" t="s">
        <v>246</v>
      </c>
      <c r="R659" s="71" t="s">
        <v>93</v>
      </c>
      <c r="S659" s="75" t="str">
        <f t="shared" si="10"/>
        <v>IL_MONROE</v>
      </c>
    </row>
    <row r="660" spans="17:19" x14ac:dyDescent="0.2">
      <c r="Q660" s="31" t="s">
        <v>247</v>
      </c>
      <c r="R660" s="72" t="s">
        <v>93</v>
      </c>
      <c r="S660" s="75" t="str">
        <f t="shared" si="10"/>
        <v>IL_MONTGOMERY</v>
      </c>
    </row>
    <row r="661" spans="17:19" x14ac:dyDescent="0.2">
      <c r="Q661" s="30" t="s">
        <v>248</v>
      </c>
      <c r="R661" s="71" t="s">
        <v>93</v>
      </c>
      <c r="S661" s="75" t="str">
        <f t="shared" si="10"/>
        <v>IL_MORGAN</v>
      </c>
    </row>
    <row r="662" spans="17:19" x14ac:dyDescent="0.2">
      <c r="Q662" s="31" t="s">
        <v>715</v>
      </c>
      <c r="R662" s="72" t="s">
        <v>93</v>
      </c>
      <c r="S662" s="75" t="str">
        <f t="shared" si="10"/>
        <v>IL_MOULTRIE</v>
      </c>
    </row>
    <row r="663" spans="17:19" x14ac:dyDescent="0.2">
      <c r="Q663" s="30" t="s">
        <v>716</v>
      </c>
      <c r="R663" s="71" t="s">
        <v>93</v>
      </c>
      <c r="S663" s="75" t="str">
        <f t="shared" si="10"/>
        <v>IL_OGLE</v>
      </c>
    </row>
    <row r="664" spans="17:19" x14ac:dyDescent="0.2">
      <c r="Q664" s="31" t="s">
        <v>717</v>
      </c>
      <c r="R664" s="72" t="s">
        <v>93</v>
      </c>
      <c r="S664" s="75" t="str">
        <f t="shared" si="10"/>
        <v>IL_PEORIA</v>
      </c>
    </row>
    <row r="665" spans="17:19" x14ac:dyDescent="0.2">
      <c r="Q665" s="30" t="s">
        <v>249</v>
      </c>
      <c r="R665" s="71" t="s">
        <v>93</v>
      </c>
      <c r="S665" s="75" t="str">
        <f t="shared" si="10"/>
        <v>IL_PERRY</v>
      </c>
    </row>
    <row r="666" spans="17:19" x14ac:dyDescent="0.2">
      <c r="Q666" s="31" t="s">
        <v>718</v>
      </c>
      <c r="R666" s="72" t="s">
        <v>93</v>
      </c>
      <c r="S666" s="75" t="str">
        <f t="shared" si="10"/>
        <v>IL_PIATT</v>
      </c>
    </row>
    <row r="667" spans="17:19" x14ac:dyDescent="0.2">
      <c r="Q667" s="30" t="s">
        <v>251</v>
      </c>
      <c r="R667" s="71" t="s">
        <v>93</v>
      </c>
      <c r="S667" s="75" t="str">
        <f t="shared" si="10"/>
        <v>IL_PIKE</v>
      </c>
    </row>
    <row r="668" spans="17:19" x14ac:dyDescent="0.2">
      <c r="Q668" s="31" t="s">
        <v>345</v>
      </c>
      <c r="R668" s="72" t="s">
        <v>93</v>
      </c>
      <c r="S668" s="75" t="str">
        <f t="shared" si="10"/>
        <v>IL_POPE</v>
      </c>
    </row>
    <row r="669" spans="17:19" x14ac:dyDescent="0.2">
      <c r="Q669" s="30" t="s">
        <v>347</v>
      </c>
      <c r="R669" s="71" t="s">
        <v>93</v>
      </c>
      <c r="S669" s="75" t="str">
        <f t="shared" si="10"/>
        <v>IL_PULASKI</v>
      </c>
    </row>
    <row r="670" spans="17:19" x14ac:dyDescent="0.2">
      <c r="Q670" s="31" t="s">
        <v>522</v>
      </c>
      <c r="R670" s="72" t="s">
        <v>93</v>
      </c>
      <c r="S670" s="75" t="str">
        <f t="shared" si="10"/>
        <v>IL_PUTNAM</v>
      </c>
    </row>
    <row r="671" spans="17:19" x14ac:dyDescent="0.2">
      <c r="Q671" s="30" t="s">
        <v>252</v>
      </c>
      <c r="R671" s="71" t="s">
        <v>93</v>
      </c>
      <c r="S671" s="75" t="str">
        <f t="shared" si="10"/>
        <v>IL_RANDOLPH</v>
      </c>
    </row>
    <row r="672" spans="17:19" x14ac:dyDescent="0.2">
      <c r="Q672" s="31" t="s">
        <v>719</v>
      </c>
      <c r="R672" s="72" t="s">
        <v>93</v>
      </c>
      <c r="S672" s="75" t="str">
        <f t="shared" si="10"/>
        <v>IL_RICHLAND</v>
      </c>
    </row>
    <row r="673" spans="17:19" x14ac:dyDescent="0.2">
      <c r="Q673" s="30" t="s">
        <v>720</v>
      </c>
      <c r="R673" s="71" t="s">
        <v>93</v>
      </c>
      <c r="S673" s="75" t="str">
        <f t="shared" si="10"/>
        <v>IL_ROCK ISLAND</v>
      </c>
    </row>
    <row r="674" spans="17:19" x14ac:dyDescent="0.2">
      <c r="Q674" s="31" t="s">
        <v>254</v>
      </c>
      <c r="R674" s="72" t="s">
        <v>93</v>
      </c>
      <c r="S674" s="75" t="str">
        <f t="shared" si="10"/>
        <v>IL_ST. CLAIR</v>
      </c>
    </row>
    <row r="675" spans="17:19" x14ac:dyDescent="0.2">
      <c r="Q675" s="30" t="s">
        <v>349</v>
      </c>
      <c r="R675" s="71" t="s">
        <v>93</v>
      </c>
      <c r="S675" s="75" t="str">
        <f t="shared" si="10"/>
        <v>IL_SALINE</v>
      </c>
    </row>
    <row r="676" spans="17:19" x14ac:dyDescent="0.2">
      <c r="Q676" s="31" t="s">
        <v>721</v>
      </c>
      <c r="R676" s="72" t="s">
        <v>93</v>
      </c>
      <c r="S676" s="75" t="str">
        <f t="shared" si="10"/>
        <v>IL_SANGAMON</v>
      </c>
    </row>
    <row r="677" spans="17:19" x14ac:dyDescent="0.2">
      <c r="Q677" s="30" t="s">
        <v>722</v>
      </c>
      <c r="R677" s="71" t="s">
        <v>93</v>
      </c>
      <c r="S677" s="75" t="str">
        <f t="shared" si="10"/>
        <v>IL_SCHUYLER</v>
      </c>
    </row>
    <row r="678" spans="17:19" x14ac:dyDescent="0.2">
      <c r="Q678" s="31" t="s">
        <v>350</v>
      </c>
      <c r="R678" s="72" t="s">
        <v>93</v>
      </c>
      <c r="S678" s="75" t="str">
        <f t="shared" si="10"/>
        <v>IL_SCOTT</v>
      </c>
    </row>
    <row r="679" spans="17:19" x14ac:dyDescent="0.2">
      <c r="Q679" s="30" t="s">
        <v>255</v>
      </c>
      <c r="R679" s="71" t="s">
        <v>93</v>
      </c>
      <c r="S679" s="75" t="str">
        <f t="shared" si="10"/>
        <v>IL_SHELBY</v>
      </c>
    </row>
    <row r="680" spans="17:19" x14ac:dyDescent="0.2">
      <c r="Q680" s="31" t="s">
        <v>723</v>
      </c>
      <c r="R680" s="72" t="s">
        <v>93</v>
      </c>
      <c r="S680" s="75" t="str">
        <f t="shared" si="10"/>
        <v>IL_STARK</v>
      </c>
    </row>
    <row r="681" spans="17:19" x14ac:dyDescent="0.2">
      <c r="Q681" s="30" t="s">
        <v>724</v>
      </c>
      <c r="R681" s="71" t="s">
        <v>93</v>
      </c>
      <c r="S681" s="75" t="str">
        <f t="shared" si="10"/>
        <v>IL_STEPHENSON</v>
      </c>
    </row>
    <row r="682" spans="17:19" x14ac:dyDescent="0.2">
      <c r="Q682" s="31" t="s">
        <v>725</v>
      </c>
      <c r="R682" s="72" t="s">
        <v>93</v>
      </c>
      <c r="S682" s="75" t="str">
        <f t="shared" si="10"/>
        <v>IL_TAZEWELL</v>
      </c>
    </row>
    <row r="683" spans="17:19" x14ac:dyDescent="0.2">
      <c r="Q683" s="30" t="s">
        <v>356</v>
      </c>
      <c r="R683" s="71" t="s">
        <v>93</v>
      </c>
      <c r="S683" s="75" t="str">
        <f t="shared" si="10"/>
        <v>IL_UNION</v>
      </c>
    </row>
    <row r="684" spans="17:19" x14ac:dyDescent="0.2">
      <c r="Q684" s="31" t="s">
        <v>726</v>
      </c>
      <c r="R684" s="72" t="s">
        <v>93</v>
      </c>
      <c r="S684" s="75" t="str">
        <f t="shared" si="10"/>
        <v>IL_VERMILION</v>
      </c>
    </row>
    <row r="685" spans="17:19" x14ac:dyDescent="0.2">
      <c r="Q685" s="30" t="s">
        <v>727</v>
      </c>
      <c r="R685" s="71" t="s">
        <v>93</v>
      </c>
      <c r="S685" s="75" t="str">
        <f t="shared" si="10"/>
        <v>IL_WABASH</v>
      </c>
    </row>
    <row r="686" spans="17:19" x14ac:dyDescent="0.2">
      <c r="Q686" s="31" t="s">
        <v>633</v>
      </c>
      <c r="R686" s="72" t="s">
        <v>93</v>
      </c>
      <c r="S686" s="75" t="str">
        <f t="shared" si="10"/>
        <v>IL_WARREN</v>
      </c>
    </row>
    <row r="687" spans="17:19" x14ac:dyDescent="0.2">
      <c r="Q687" s="30" t="s">
        <v>261</v>
      </c>
      <c r="R687" s="71" t="s">
        <v>93</v>
      </c>
      <c r="S687" s="75" t="str">
        <f t="shared" si="10"/>
        <v>IL_WASHINGTON</v>
      </c>
    </row>
    <row r="688" spans="17:19" x14ac:dyDescent="0.2">
      <c r="Q688" s="31" t="s">
        <v>634</v>
      </c>
      <c r="R688" s="72" t="s">
        <v>93</v>
      </c>
      <c r="S688" s="75" t="str">
        <f t="shared" si="10"/>
        <v>IL_WAYNE</v>
      </c>
    </row>
    <row r="689" spans="17:19" x14ac:dyDescent="0.2">
      <c r="Q689" s="30" t="s">
        <v>358</v>
      </c>
      <c r="R689" s="71" t="s">
        <v>93</v>
      </c>
      <c r="S689" s="75" t="str">
        <f t="shared" si="10"/>
        <v>IL_WHITE</v>
      </c>
    </row>
    <row r="690" spans="17:19" x14ac:dyDescent="0.2">
      <c r="Q690" s="31" t="s">
        <v>728</v>
      </c>
      <c r="R690" s="72" t="s">
        <v>93</v>
      </c>
      <c r="S690" s="75" t="str">
        <f t="shared" si="10"/>
        <v>IL_WHITESIDE</v>
      </c>
    </row>
    <row r="691" spans="17:19" x14ac:dyDescent="0.2">
      <c r="Q691" s="30" t="s">
        <v>729</v>
      </c>
      <c r="R691" s="71" t="s">
        <v>93</v>
      </c>
      <c r="S691" s="75" t="str">
        <f t="shared" si="10"/>
        <v>IL_WILL</v>
      </c>
    </row>
    <row r="692" spans="17:19" x14ac:dyDescent="0.2">
      <c r="Q692" s="31" t="s">
        <v>730</v>
      </c>
      <c r="R692" s="72" t="s">
        <v>93</v>
      </c>
      <c r="S692" s="75" t="str">
        <f t="shared" si="10"/>
        <v>IL_WILLIAMSON</v>
      </c>
    </row>
    <row r="693" spans="17:19" x14ac:dyDescent="0.2">
      <c r="Q693" s="30" t="s">
        <v>731</v>
      </c>
      <c r="R693" s="71" t="s">
        <v>93</v>
      </c>
      <c r="S693" s="75" t="str">
        <f t="shared" si="10"/>
        <v>IL_WINNEBAGO</v>
      </c>
    </row>
    <row r="694" spans="17:19" x14ac:dyDescent="0.2">
      <c r="Q694" s="31" t="s">
        <v>732</v>
      </c>
      <c r="R694" s="72" t="s">
        <v>93</v>
      </c>
      <c r="S694" s="75" t="str">
        <f t="shared" si="10"/>
        <v>IL_WOODFORD</v>
      </c>
    </row>
    <row r="695" spans="17:19" x14ac:dyDescent="0.2">
      <c r="Q695" s="30" t="s">
        <v>417</v>
      </c>
      <c r="R695" s="71" t="s">
        <v>92</v>
      </c>
      <c r="S695" s="75" t="str">
        <f t="shared" si="10"/>
        <v>IN_ADAMS</v>
      </c>
    </row>
    <row r="696" spans="17:19" x14ac:dyDescent="0.2">
      <c r="Q696" s="31" t="s">
        <v>733</v>
      </c>
      <c r="R696" s="72" t="s">
        <v>92</v>
      </c>
      <c r="S696" s="75" t="str">
        <f t="shared" si="10"/>
        <v>IN_ALLEN</v>
      </c>
    </row>
    <row r="697" spans="17:19" x14ac:dyDescent="0.2">
      <c r="Q697" s="30" t="s">
        <v>734</v>
      </c>
      <c r="R697" s="71" t="s">
        <v>92</v>
      </c>
      <c r="S697" s="75" t="str">
        <f t="shared" si="10"/>
        <v>IN_BARTHOLOMEW</v>
      </c>
    </row>
    <row r="698" spans="17:19" x14ac:dyDescent="0.2">
      <c r="Q698" s="31" t="s">
        <v>307</v>
      </c>
      <c r="R698" s="72" t="s">
        <v>92</v>
      </c>
      <c r="S698" s="75" t="str">
        <f t="shared" si="10"/>
        <v>IN_BENTON</v>
      </c>
    </row>
    <row r="699" spans="17:19" x14ac:dyDescent="0.2">
      <c r="Q699" s="30" t="s">
        <v>735</v>
      </c>
      <c r="R699" s="71" t="s">
        <v>92</v>
      </c>
      <c r="S699" s="75" t="str">
        <f t="shared" si="10"/>
        <v>IN_BLACKFORD</v>
      </c>
    </row>
    <row r="700" spans="17:19" x14ac:dyDescent="0.2">
      <c r="Q700" s="31" t="s">
        <v>308</v>
      </c>
      <c r="R700" s="72" t="s">
        <v>92</v>
      </c>
      <c r="S700" s="75" t="str">
        <f t="shared" si="10"/>
        <v>IN_BOONE</v>
      </c>
    </row>
    <row r="701" spans="17:19" x14ac:dyDescent="0.2">
      <c r="Q701" s="30" t="s">
        <v>681</v>
      </c>
      <c r="R701" s="71" t="s">
        <v>92</v>
      </c>
      <c r="S701" s="75" t="str">
        <f t="shared" si="10"/>
        <v>IN_BROWN</v>
      </c>
    </row>
    <row r="702" spans="17:19" x14ac:dyDescent="0.2">
      <c r="Q702" s="31" t="s">
        <v>310</v>
      </c>
      <c r="R702" s="72" t="s">
        <v>92</v>
      </c>
      <c r="S702" s="75" t="str">
        <f t="shared" si="10"/>
        <v>IN_CARROLL</v>
      </c>
    </row>
    <row r="703" spans="17:19" x14ac:dyDescent="0.2">
      <c r="Q703" s="30" t="s">
        <v>683</v>
      </c>
      <c r="R703" s="71" t="s">
        <v>92</v>
      </c>
      <c r="S703" s="75" t="str">
        <f t="shared" si="10"/>
        <v>IN_CASS</v>
      </c>
    </row>
    <row r="704" spans="17:19" x14ac:dyDescent="0.2">
      <c r="Q704" s="31" t="s">
        <v>312</v>
      </c>
      <c r="R704" s="72" t="s">
        <v>92</v>
      </c>
      <c r="S704" s="75" t="str">
        <f t="shared" si="10"/>
        <v>IN_CLARK</v>
      </c>
    </row>
    <row r="705" spans="17:19" x14ac:dyDescent="0.2">
      <c r="Q705" s="30" t="s">
        <v>210</v>
      </c>
      <c r="R705" s="71" t="s">
        <v>92</v>
      </c>
      <c r="S705" s="75" t="str">
        <f t="shared" si="10"/>
        <v>IN_CLAY</v>
      </c>
    </row>
    <row r="706" spans="17:19" x14ac:dyDescent="0.2">
      <c r="Q706" s="31" t="s">
        <v>686</v>
      </c>
      <c r="R706" s="72" t="s">
        <v>92</v>
      </c>
      <c r="S706" s="75" t="str">
        <f t="shared" si="10"/>
        <v>IN_CLINTON</v>
      </c>
    </row>
    <row r="707" spans="17:19" x14ac:dyDescent="0.2">
      <c r="Q707" s="30" t="s">
        <v>317</v>
      </c>
      <c r="R707" s="71" t="s">
        <v>92</v>
      </c>
      <c r="S707" s="75" t="str">
        <f t="shared" si="10"/>
        <v>IN_CRAWFORD</v>
      </c>
    </row>
    <row r="708" spans="17:19" x14ac:dyDescent="0.2">
      <c r="Q708" s="31" t="s">
        <v>736</v>
      </c>
      <c r="R708" s="72" t="s">
        <v>92</v>
      </c>
      <c r="S708" s="75" t="str">
        <f t="shared" ref="S708:S771" si="11">UPPER(CONCATENATE(TRIM(R708),"_",TRIM(Q708)))</f>
        <v>IN_DAVIESS</v>
      </c>
    </row>
    <row r="709" spans="17:19" x14ac:dyDescent="0.2">
      <c r="Q709" s="30" t="s">
        <v>737</v>
      </c>
      <c r="R709" s="71" t="s">
        <v>92</v>
      </c>
      <c r="S709" s="75" t="str">
        <f t="shared" si="11"/>
        <v>IN_DEARBORN</v>
      </c>
    </row>
    <row r="710" spans="17:19" x14ac:dyDescent="0.2">
      <c r="Q710" s="31" t="s">
        <v>563</v>
      </c>
      <c r="R710" s="72" t="s">
        <v>92</v>
      </c>
      <c r="S710" s="75" t="str">
        <f t="shared" si="11"/>
        <v>IN_DECATUR</v>
      </c>
    </row>
    <row r="711" spans="17:19" x14ac:dyDescent="0.2">
      <c r="Q711" s="30" t="s">
        <v>564</v>
      </c>
      <c r="R711" s="71" t="s">
        <v>92</v>
      </c>
      <c r="S711" s="75" t="str">
        <f t="shared" si="11"/>
        <v>IN_DE KALB</v>
      </c>
    </row>
    <row r="712" spans="17:19" x14ac:dyDescent="0.2">
      <c r="Q712" s="31" t="s">
        <v>738</v>
      </c>
      <c r="R712" s="72" t="s">
        <v>92</v>
      </c>
      <c r="S712" s="75" t="str">
        <f t="shared" si="11"/>
        <v>IN_DELAWARE</v>
      </c>
    </row>
    <row r="713" spans="17:19" x14ac:dyDescent="0.2">
      <c r="Q713" s="30" t="s">
        <v>739</v>
      </c>
      <c r="R713" s="71" t="s">
        <v>92</v>
      </c>
      <c r="S713" s="75" t="str">
        <f t="shared" si="11"/>
        <v>IN_DUBOIS</v>
      </c>
    </row>
    <row r="714" spans="17:19" x14ac:dyDescent="0.2">
      <c r="Q714" s="31" t="s">
        <v>740</v>
      </c>
      <c r="R714" s="72" t="s">
        <v>92</v>
      </c>
      <c r="S714" s="75" t="str">
        <f t="shared" si="11"/>
        <v>IN_ELKHART</v>
      </c>
    </row>
    <row r="715" spans="17:19" x14ac:dyDescent="0.2">
      <c r="Q715" s="30" t="s">
        <v>225</v>
      </c>
      <c r="R715" s="71" t="s">
        <v>92</v>
      </c>
      <c r="S715" s="75" t="str">
        <f t="shared" si="11"/>
        <v>IN_FAYETTE</v>
      </c>
    </row>
    <row r="716" spans="17:19" x14ac:dyDescent="0.2">
      <c r="Q716" s="31" t="s">
        <v>574</v>
      </c>
      <c r="R716" s="72" t="s">
        <v>92</v>
      </c>
      <c r="S716" s="75" t="str">
        <f t="shared" si="11"/>
        <v>IN_FLOYD</v>
      </c>
    </row>
    <row r="717" spans="17:19" x14ac:dyDescent="0.2">
      <c r="Q717" s="30" t="s">
        <v>741</v>
      </c>
      <c r="R717" s="71" t="s">
        <v>92</v>
      </c>
      <c r="S717" s="75" t="str">
        <f t="shared" si="11"/>
        <v>IN_FOUNTAIN</v>
      </c>
    </row>
    <row r="718" spans="17:19" x14ac:dyDescent="0.2">
      <c r="Q718" s="31" t="s">
        <v>226</v>
      </c>
      <c r="R718" s="72" t="s">
        <v>92</v>
      </c>
      <c r="S718" s="75" t="str">
        <f t="shared" si="11"/>
        <v>IN_FRANKLIN</v>
      </c>
    </row>
    <row r="719" spans="17:19" x14ac:dyDescent="0.2">
      <c r="Q719" s="30" t="s">
        <v>323</v>
      </c>
      <c r="R719" s="71" t="s">
        <v>92</v>
      </c>
      <c r="S719" s="75" t="str">
        <f t="shared" si="11"/>
        <v>IN_FULTON</v>
      </c>
    </row>
    <row r="720" spans="17:19" x14ac:dyDescent="0.2">
      <c r="Q720" s="31" t="s">
        <v>742</v>
      </c>
      <c r="R720" s="72" t="s">
        <v>92</v>
      </c>
      <c r="S720" s="75" t="str">
        <f t="shared" si="11"/>
        <v>IN_GIBSON</v>
      </c>
    </row>
    <row r="721" spans="17:19" x14ac:dyDescent="0.2">
      <c r="Q721" s="30" t="s">
        <v>325</v>
      </c>
      <c r="R721" s="71" t="s">
        <v>92</v>
      </c>
      <c r="S721" s="75" t="str">
        <f t="shared" si="11"/>
        <v>IN_GRANT</v>
      </c>
    </row>
    <row r="722" spans="17:19" x14ac:dyDescent="0.2">
      <c r="Q722" s="31" t="s">
        <v>228</v>
      </c>
      <c r="R722" s="72" t="s">
        <v>92</v>
      </c>
      <c r="S722" s="75" t="str">
        <f t="shared" si="11"/>
        <v>IN_GREENE</v>
      </c>
    </row>
    <row r="723" spans="17:19" x14ac:dyDescent="0.2">
      <c r="Q723" s="30" t="s">
        <v>502</v>
      </c>
      <c r="R723" s="71" t="s">
        <v>92</v>
      </c>
      <c r="S723" s="75" t="str">
        <f t="shared" si="11"/>
        <v>IN_HAMILTON</v>
      </c>
    </row>
    <row r="724" spans="17:19" x14ac:dyDescent="0.2">
      <c r="Q724" s="31" t="s">
        <v>584</v>
      </c>
      <c r="R724" s="72" t="s">
        <v>92</v>
      </c>
      <c r="S724" s="75" t="str">
        <f t="shared" si="11"/>
        <v>IN_HANCOCK</v>
      </c>
    </row>
    <row r="725" spans="17:19" x14ac:dyDescent="0.2">
      <c r="Q725" s="30" t="s">
        <v>743</v>
      </c>
      <c r="R725" s="71" t="s">
        <v>92</v>
      </c>
      <c r="S725" s="75" t="str">
        <f t="shared" si="11"/>
        <v>IN_HARRISON</v>
      </c>
    </row>
    <row r="726" spans="17:19" x14ac:dyDescent="0.2">
      <c r="Q726" s="31" t="s">
        <v>744</v>
      </c>
      <c r="R726" s="72" t="s">
        <v>92</v>
      </c>
      <c r="S726" s="75" t="str">
        <f t="shared" si="11"/>
        <v>IN_HENDRICKS</v>
      </c>
    </row>
    <row r="727" spans="17:19" x14ac:dyDescent="0.2">
      <c r="Q727" s="30" t="s">
        <v>230</v>
      </c>
      <c r="R727" s="71" t="s">
        <v>92</v>
      </c>
      <c r="S727" s="75" t="str">
        <f t="shared" si="11"/>
        <v>IN_HENRY</v>
      </c>
    </row>
    <row r="728" spans="17:19" x14ac:dyDescent="0.2">
      <c r="Q728" s="31" t="s">
        <v>328</v>
      </c>
      <c r="R728" s="72" t="s">
        <v>92</v>
      </c>
      <c r="S728" s="75" t="str">
        <f t="shared" si="11"/>
        <v>IN_HOWARD</v>
      </c>
    </row>
    <row r="729" spans="17:19" x14ac:dyDescent="0.2">
      <c r="Q729" s="30" t="s">
        <v>745</v>
      </c>
      <c r="R729" s="71" t="s">
        <v>92</v>
      </c>
      <c r="S729" s="75" t="str">
        <f t="shared" si="11"/>
        <v>IN_HUNTINGTON</v>
      </c>
    </row>
    <row r="730" spans="17:19" x14ac:dyDescent="0.2">
      <c r="Q730" s="31" t="s">
        <v>232</v>
      </c>
      <c r="R730" s="72" t="s">
        <v>92</v>
      </c>
      <c r="S730" s="75" t="str">
        <f t="shared" si="11"/>
        <v>IN_JACKSON</v>
      </c>
    </row>
    <row r="731" spans="17:19" x14ac:dyDescent="0.2">
      <c r="Q731" s="30" t="s">
        <v>590</v>
      </c>
      <c r="R731" s="71" t="s">
        <v>92</v>
      </c>
      <c r="S731" s="75" t="str">
        <f t="shared" si="11"/>
        <v>IN_JASPER</v>
      </c>
    </row>
    <row r="732" spans="17:19" x14ac:dyDescent="0.2">
      <c r="Q732" s="31" t="s">
        <v>746</v>
      </c>
      <c r="R732" s="72" t="s">
        <v>92</v>
      </c>
      <c r="S732" s="75" t="str">
        <f t="shared" si="11"/>
        <v>IN_JAY</v>
      </c>
    </row>
    <row r="733" spans="17:19" x14ac:dyDescent="0.2">
      <c r="Q733" s="30" t="s">
        <v>233</v>
      </c>
      <c r="R733" s="71" t="s">
        <v>92</v>
      </c>
      <c r="S733" s="75" t="str">
        <f t="shared" si="11"/>
        <v>IN_JEFFERSON</v>
      </c>
    </row>
    <row r="734" spans="17:19" x14ac:dyDescent="0.2">
      <c r="Q734" s="31" t="s">
        <v>747</v>
      </c>
      <c r="R734" s="72" t="s">
        <v>92</v>
      </c>
      <c r="S734" s="75" t="str">
        <f t="shared" si="11"/>
        <v>IN_JENNINGS</v>
      </c>
    </row>
    <row r="735" spans="17:19" x14ac:dyDescent="0.2">
      <c r="Q735" s="30" t="s">
        <v>331</v>
      </c>
      <c r="R735" s="71" t="s">
        <v>92</v>
      </c>
      <c r="S735" s="75" t="str">
        <f t="shared" si="11"/>
        <v>IN_JOHNSON</v>
      </c>
    </row>
    <row r="736" spans="17:19" x14ac:dyDescent="0.2">
      <c r="Q736" s="31" t="s">
        <v>704</v>
      </c>
      <c r="R736" s="72" t="s">
        <v>92</v>
      </c>
      <c r="S736" s="75" t="str">
        <f t="shared" si="11"/>
        <v>IN_KNOX</v>
      </c>
    </row>
    <row r="737" spans="17:19" x14ac:dyDescent="0.2">
      <c r="Q737" s="30" t="s">
        <v>748</v>
      </c>
      <c r="R737" s="71" t="s">
        <v>92</v>
      </c>
      <c r="S737" s="75" t="str">
        <f t="shared" si="11"/>
        <v>IN_KOSCIUSKO</v>
      </c>
    </row>
    <row r="738" spans="17:19" x14ac:dyDescent="0.2">
      <c r="Q738" s="31" t="s">
        <v>749</v>
      </c>
      <c r="R738" s="72" t="s">
        <v>92</v>
      </c>
      <c r="S738" s="75" t="str">
        <f t="shared" si="11"/>
        <v>IN_LAGRANGE</v>
      </c>
    </row>
    <row r="739" spans="17:19" x14ac:dyDescent="0.2">
      <c r="Q739" s="30" t="s">
        <v>377</v>
      </c>
      <c r="R739" s="71" t="s">
        <v>92</v>
      </c>
      <c r="S739" s="75" t="str">
        <f t="shared" si="11"/>
        <v>IN_LAKE</v>
      </c>
    </row>
    <row r="740" spans="17:19" x14ac:dyDescent="0.2">
      <c r="Q740" s="31" t="s">
        <v>750</v>
      </c>
      <c r="R740" s="72" t="s">
        <v>92</v>
      </c>
      <c r="S740" s="75" t="str">
        <f t="shared" si="11"/>
        <v>IN_LA PORTE</v>
      </c>
    </row>
    <row r="741" spans="17:19" x14ac:dyDescent="0.2">
      <c r="Q741" s="30" t="s">
        <v>236</v>
      </c>
      <c r="R741" s="71" t="s">
        <v>92</v>
      </c>
      <c r="S741" s="75" t="str">
        <f t="shared" si="11"/>
        <v>IN_LAWRENCE</v>
      </c>
    </row>
    <row r="742" spans="17:19" x14ac:dyDescent="0.2">
      <c r="Q742" s="31" t="s">
        <v>241</v>
      </c>
      <c r="R742" s="72" t="s">
        <v>92</v>
      </c>
      <c r="S742" s="75" t="str">
        <f t="shared" si="11"/>
        <v>IN_MADISON</v>
      </c>
    </row>
    <row r="743" spans="17:19" x14ac:dyDescent="0.2">
      <c r="Q743" s="30" t="s">
        <v>243</v>
      </c>
      <c r="R743" s="71" t="s">
        <v>92</v>
      </c>
      <c r="S743" s="75" t="str">
        <f t="shared" si="11"/>
        <v>IN_MARION</v>
      </c>
    </row>
    <row r="744" spans="17:19" x14ac:dyDescent="0.2">
      <c r="Q744" s="31" t="s">
        <v>244</v>
      </c>
      <c r="R744" s="72" t="s">
        <v>92</v>
      </c>
      <c r="S744" s="75" t="str">
        <f t="shared" si="11"/>
        <v>IN_MARSHALL</v>
      </c>
    </row>
    <row r="745" spans="17:19" x14ac:dyDescent="0.2">
      <c r="Q745" s="30" t="s">
        <v>514</v>
      </c>
      <c r="R745" s="71" t="s">
        <v>92</v>
      </c>
      <c r="S745" s="75" t="str">
        <f t="shared" si="11"/>
        <v>IN_MARTIN</v>
      </c>
    </row>
    <row r="746" spans="17:19" x14ac:dyDescent="0.2">
      <c r="Q746" s="31" t="s">
        <v>751</v>
      </c>
      <c r="R746" s="72" t="s">
        <v>92</v>
      </c>
      <c r="S746" s="75" t="str">
        <f t="shared" si="11"/>
        <v>IN_MIAMI</v>
      </c>
    </row>
    <row r="747" spans="17:19" x14ac:dyDescent="0.2">
      <c r="Q747" s="30" t="s">
        <v>246</v>
      </c>
      <c r="R747" s="71" t="s">
        <v>92</v>
      </c>
      <c r="S747" s="75" t="str">
        <f t="shared" si="11"/>
        <v>IN_MONROE</v>
      </c>
    </row>
    <row r="748" spans="17:19" x14ac:dyDescent="0.2">
      <c r="Q748" s="31" t="s">
        <v>247</v>
      </c>
      <c r="R748" s="72" t="s">
        <v>92</v>
      </c>
      <c r="S748" s="75" t="str">
        <f t="shared" si="11"/>
        <v>IN_MONTGOMERY</v>
      </c>
    </row>
    <row r="749" spans="17:19" x14ac:dyDescent="0.2">
      <c r="Q749" s="30" t="s">
        <v>248</v>
      </c>
      <c r="R749" s="71" t="s">
        <v>92</v>
      </c>
      <c r="S749" s="75" t="str">
        <f t="shared" si="11"/>
        <v>IN_MORGAN</v>
      </c>
    </row>
    <row r="750" spans="17:19" x14ac:dyDescent="0.2">
      <c r="Q750" s="31" t="s">
        <v>340</v>
      </c>
      <c r="R750" s="72" t="s">
        <v>92</v>
      </c>
      <c r="S750" s="75" t="str">
        <f t="shared" si="11"/>
        <v>IN_NEWTON</v>
      </c>
    </row>
    <row r="751" spans="17:19" x14ac:dyDescent="0.2">
      <c r="Q751" s="30" t="s">
        <v>752</v>
      </c>
      <c r="R751" s="71" t="s">
        <v>92</v>
      </c>
      <c r="S751" s="75" t="str">
        <f t="shared" si="11"/>
        <v>IN_NOBLE</v>
      </c>
    </row>
    <row r="752" spans="17:19" x14ac:dyDescent="0.2">
      <c r="Q752" s="31" t="s">
        <v>753</v>
      </c>
      <c r="R752" s="72" t="s">
        <v>92</v>
      </c>
      <c r="S752" s="75" t="str">
        <f t="shared" si="11"/>
        <v>IN_OHIO</v>
      </c>
    </row>
    <row r="753" spans="17:19" x14ac:dyDescent="0.2">
      <c r="Q753" s="30" t="s">
        <v>389</v>
      </c>
      <c r="R753" s="71" t="s">
        <v>92</v>
      </c>
      <c r="S753" s="75" t="str">
        <f t="shared" si="11"/>
        <v>IN_ORANGE</v>
      </c>
    </row>
    <row r="754" spans="17:19" x14ac:dyDescent="0.2">
      <c r="Q754" s="31" t="s">
        <v>754</v>
      </c>
      <c r="R754" s="72" t="s">
        <v>92</v>
      </c>
      <c r="S754" s="75" t="str">
        <f t="shared" si="11"/>
        <v>IN_OWEN</v>
      </c>
    </row>
    <row r="755" spans="17:19" x14ac:dyDescent="0.2">
      <c r="Q755" s="30" t="s">
        <v>755</v>
      </c>
      <c r="R755" s="71" t="s">
        <v>92</v>
      </c>
      <c r="S755" s="75" t="str">
        <f t="shared" si="11"/>
        <v>IN_PARKE</v>
      </c>
    </row>
    <row r="756" spans="17:19" x14ac:dyDescent="0.2">
      <c r="Q756" s="31" t="s">
        <v>249</v>
      </c>
      <c r="R756" s="72" t="s">
        <v>92</v>
      </c>
      <c r="S756" s="75" t="str">
        <f t="shared" si="11"/>
        <v>IN_PERRY</v>
      </c>
    </row>
    <row r="757" spans="17:19" x14ac:dyDescent="0.2">
      <c r="Q757" s="30" t="s">
        <v>251</v>
      </c>
      <c r="R757" s="71" t="s">
        <v>92</v>
      </c>
      <c r="S757" s="75" t="str">
        <f t="shared" si="11"/>
        <v>IN_PIKE</v>
      </c>
    </row>
    <row r="758" spans="17:19" x14ac:dyDescent="0.2">
      <c r="Q758" s="31" t="s">
        <v>756</v>
      </c>
      <c r="R758" s="72" t="s">
        <v>92</v>
      </c>
      <c r="S758" s="75" t="str">
        <f t="shared" si="11"/>
        <v>IN_PORTER</v>
      </c>
    </row>
    <row r="759" spans="17:19" x14ac:dyDescent="0.2">
      <c r="Q759" s="30" t="s">
        <v>757</v>
      </c>
      <c r="R759" s="71" t="s">
        <v>92</v>
      </c>
      <c r="S759" s="75" t="str">
        <f t="shared" si="11"/>
        <v>IN_POSEY</v>
      </c>
    </row>
    <row r="760" spans="17:19" x14ac:dyDescent="0.2">
      <c r="Q760" s="31" t="s">
        <v>347</v>
      </c>
      <c r="R760" s="72" t="s">
        <v>92</v>
      </c>
      <c r="S760" s="75" t="str">
        <f t="shared" si="11"/>
        <v>IN_PULASKI</v>
      </c>
    </row>
    <row r="761" spans="17:19" x14ac:dyDescent="0.2">
      <c r="Q761" s="30" t="s">
        <v>522</v>
      </c>
      <c r="R761" s="71" t="s">
        <v>92</v>
      </c>
      <c r="S761" s="75" t="str">
        <f t="shared" si="11"/>
        <v>IN_PUTNAM</v>
      </c>
    </row>
    <row r="762" spans="17:19" x14ac:dyDescent="0.2">
      <c r="Q762" s="31" t="s">
        <v>252</v>
      </c>
      <c r="R762" s="72" t="s">
        <v>92</v>
      </c>
      <c r="S762" s="75" t="str">
        <f t="shared" si="11"/>
        <v>IN_RANDOLPH</v>
      </c>
    </row>
    <row r="763" spans="17:19" x14ac:dyDescent="0.2">
      <c r="Q763" s="30" t="s">
        <v>758</v>
      </c>
      <c r="R763" s="71" t="s">
        <v>92</v>
      </c>
      <c r="S763" s="75" t="str">
        <f t="shared" si="11"/>
        <v>IN_RIPLEY</v>
      </c>
    </row>
    <row r="764" spans="17:19" x14ac:dyDescent="0.2">
      <c r="Q764" s="31" t="s">
        <v>759</v>
      </c>
      <c r="R764" s="72" t="s">
        <v>92</v>
      </c>
      <c r="S764" s="75" t="str">
        <f t="shared" si="11"/>
        <v>IN_RUSH</v>
      </c>
    </row>
    <row r="765" spans="17:19" x14ac:dyDescent="0.2">
      <c r="Q765" s="30" t="s">
        <v>760</v>
      </c>
      <c r="R765" s="71" t="s">
        <v>92</v>
      </c>
      <c r="S765" s="75" t="str">
        <f t="shared" si="11"/>
        <v>IN_ST. JOSEPH</v>
      </c>
    </row>
    <row r="766" spans="17:19" x14ac:dyDescent="0.2">
      <c r="Q766" s="31" t="s">
        <v>350</v>
      </c>
      <c r="R766" s="72" t="s">
        <v>92</v>
      </c>
      <c r="S766" s="75" t="str">
        <f t="shared" si="11"/>
        <v>IN_SCOTT</v>
      </c>
    </row>
    <row r="767" spans="17:19" x14ac:dyDescent="0.2">
      <c r="Q767" s="30" t="s">
        <v>255</v>
      </c>
      <c r="R767" s="71" t="s">
        <v>92</v>
      </c>
      <c r="S767" s="75" t="str">
        <f t="shared" si="11"/>
        <v>IN_SHELBY</v>
      </c>
    </row>
    <row r="768" spans="17:19" x14ac:dyDescent="0.2">
      <c r="Q768" s="31" t="s">
        <v>761</v>
      </c>
      <c r="R768" s="72" t="s">
        <v>92</v>
      </c>
      <c r="S768" s="75" t="str">
        <f t="shared" si="11"/>
        <v>IN_SPENCER</v>
      </c>
    </row>
    <row r="769" spans="17:19" x14ac:dyDescent="0.2">
      <c r="Q769" s="30" t="s">
        <v>762</v>
      </c>
      <c r="R769" s="71" t="s">
        <v>92</v>
      </c>
      <c r="S769" s="75" t="str">
        <f t="shared" si="11"/>
        <v>IN_STARKE</v>
      </c>
    </row>
    <row r="770" spans="17:19" x14ac:dyDescent="0.2">
      <c r="Q770" s="31" t="s">
        <v>763</v>
      </c>
      <c r="R770" s="72" t="s">
        <v>92</v>
      </c>
      <c r="S770" s="75" t="str">
        <f t="shared" si="11"/>
        <v>IN_STEUBEN</v>
      </c>
    </row>
    <row r="771" spans="17:19" x14ac:dyDescent="0.2">
      <c r="Q771" s="30" t="s">
        <v>764</v>
      </c>
      <c r="R771" s="71" t="s">
        <v>92</v>
      </c>
      <c r="S771" s="75" t="str">
        <f t="shared" si="11"/>
        <v>IN_SULLIVAN</v>
      </c>
    </row>
    <row r="772" spans="17:19" x14ac:dyDescent="0.2">
      <c r="Q772" s="31" t="s">
        <v>765</v>
      </c>
      <c r="R772" s="72" t="s">
        <v>92</v>
      </c>
      <c r="S772" s="75" t="str">
        <f t="shared" ref="S772:S835" si="12">UPPER(CONCATENATE(TRIM(R772),"_",TRIM(Q772)))</f>
        <v>IN_SWITZERLAND</v>
      </c>
    </row>
    <row r="773" spans="17:19" x14ac:dyDescent="0.2">
      <c r="Q773" s="30" t="s">
        <v>766</v>
      </c>
      <c r="R773" s="71" t="s">
        <v>92</v>
      </c>
      <c r="S773" s="75" t="str">
        <f t="shared" si="12"/>
        <v>IN_TIPPECANOE</v>
      </c>
    </row>
    <row r="774" spans="17:19" x14ac:dyDescent="0.2">
      <c r="Q774" s="31" t="s">
        <v>767</v>
      </c>
      <c r="R774" s="72" t="s">
        <v>92</v>
      </c>
      <c r="S774" s="75" t="str">
        <f t="shared" si="12"/>
        <v>IN_TIPTON</v>
      </c>
    </row>
    <row r="775" spans="17:19" x14ac:dyDescent="0.2">
      <c r="Q775" s="30" t="s">
        <v>356</v>
      </c>
      <c r="R775" s="71" t="s">
        <v>92</v>
      </c>
      <c r="S775" s="75" t="str">
        <f t="shared" si="12"/>
        <v>IN_UNION</v>
      </c>
    </row>
    <row r="776" spans="17:19" x14ac:dyDescent="0.2">
      <c r="Q776" s="31" t="s">
        <v>768</v>
      </c>
      <c r="R776" s="72" t="s">
        <v>92</v>
      </c>
      <c r="S776" s="75" t="str">
        <f t="shared" si="12"/>
        <v>IN_VANDERBURGH</v>
      </c>
    </row>
    <row r="777" spans="17:19" x14ac:dyDescent="0.2">
      <c r="Q777" s="30" t="s">
        <v>769</v>
      </c>
      <c r="R777" s="71" t="s">
        <v>92</v>
      </c>
      <c r="S777" s="75" t="str">
        <f t="shared" si="12"/>
        <v>IN_VERMILLION</v>
      </c>
    </row>
    <row r="778" spans="17:19" x14ac:dyDescent="0.2">
      <c r="Q778" s="31" t="s">
        <v>770</v>
      </c>
      <c r="R778" s="72" t="s">
        <v>92</v>
      </c>
      <c r="S778" s="75" t="str">
        <f t="shared" si="12"/>
        <v>IN_VIGO</v>
      </c>
    </row>
    <row r="779" spans="17:19" x14ac:dyDescent="0.2">
      <c r="Q779" s="30" t="s">
        <v>727</v>
      </c>
      <c r="R779" s="71" t="s">
        <v>92</v>
      </c>
      <c r="S779" s="75" t="str">
        <f t="shared" si="12"/>
        <v>IN_WABASH</v>
      </c>
    </row>
    <row r="780" spans="17:19" x14ac:dyDescent="0.2">
      <c r="Q780" s="31" t="s">
        <v>633</v>
      </c>
      <c r="R780" s="72" t="s">
        <v>92</v>
      </c>
      <c r="S780" s="75" t="str">
        <f t="shared" si="12"/>
        <v>IN_WARREN</v>
      </c>
    </row>
    <row r="781" spans="17:19" x14ac:dyDescent="0.2">
      <c r="Q781" s="30" t="s">
        <v>771</v>
      </c>
      <c r="R781" s="71" t="s">
        <v>92</v>
      </c>
      <c r="S781" s="75" t="str">
        <f t="shared" si="12"/>
        <v>IN_WARRICK</v>
      </c>
    </row>
    <row r="782" spans="17:19" x14ac:dyDescent="0.2">
      <c r="Q782" s="31" t="s">
        <v>261</v>
      </c>
      <c r="R782" s="72" t="s">
        <v>92</v>
      </c>
      <c r="S782" s="75" t="str">
        <f t="shared" si="12"/>
        <v>IN_WASHINGTON</v>
      </c>
    </row>
    <row r="783" spans="17:19" x14ac:dyDescent="0.2">
      <c r="Q783" s="30" t="s">
        <v>634</v>
      </c>
      <c r="R783" s="71" t="s">
        <v>92</v>
      </c>
      <c r="S783" s="75" t="str">
        <f t="shared" si="12"/>
        <v>IN_WAYNE</v>
      </c>
    </row>
    <row r="784" spans="17:19" x14ac:dyDescent="0.2">
      <c r="Q784" s="31" t="s">
        <v>772</v>
      </c>
      <c r="R784" s="72" t="s">
        <v>92</v>
      </c>
      <c r="S784" s="75" t="str">
        <f t="shared" si="12"/>
        <v>IN_WELLS</v>
      </c>
    </row>
    <row r="785" spans="17:19" x14ac:dyDescent="0.2">
      <c r="Q785" s="30" t="s">
        <v>358</v>
      </c>
      <c r="R785" s="71" t="s">
        <v>92</v>
      </c>
      <c r="S785" s="75" t="str">
        <f t="shared" si="12"/>
        <v>IN_WHITE</v>
      </c>
    </row>
    <row r="786" spans="17:19" x14ac:dyDescent="0.2">
      <c r="Q786" s="31" t="s">
        <v>773</v>
      </c>
      <c r="R786" s="72" t="s">
        <v>92</v>
      </c>
      <c r="S786" s="75" t="str">
        <f t="shared" si="12"/>
        <v>IN_WHITLEY</v>
      </c>
    </row>
    <row r="787" spans="17:19" x14ac:dyDescent="0.2">
      <c r="Q787" s="30" t="s">
        <v>774</v>
      </c>
      <c r="R787" s="71" t="s">
        <v>91</v>
      </c>
      <c r="S787" s="75" t="str">
        <f t="shared" si="12"/>
        <v>IA_ADAIR</v>
      </c>
    </row>
    <row r="788" spans="17:19" x14ac:dyDescent="0.2">
      <c r="Q788" s="31" t="s">
        <v>417</v>
      </c>
      <c r="R788" s="72" t="s">
        <v>91</v>
      </c>
      <c r="S788" s="75" t="str">
        <f t="shared" si="12"/>
        <v>IA_ADAMS</v>
      </c>
    </row>
    <row r="789" spans="17:19" x14ac:dyDescent="0.2">
      <c r="Q789" s="30" t="s">
        <v>775</v>
      </c>
      <c r="R789" s="71" t="s">
        <v>91</v>
      </c>
      <c r="S789" s="75" t="str">
        <f t="shared" si="12"/>
        <v>IA_ALLAMAKEE</v>
      </c>
    </row>
    <row r="790" spans="17:19" x14ac:dyDescent="0.2">
      <c r="Q790" s="31" t="s">
        <v>776</v>
      </c>
      <c r="R790" s="72" t="s">
        <v>91</v>
      </c>
      <c r="S790" s="75" t="str">
        <f t="shared" si="12"/>
        <v>IA_APPANOOSE</v>
      </c>
    </row>
    <row r="791" spans="17:19" x14ac:dyDescent="0.2">
      <c r="Q791" s="30" t="s">
        <v>777</v>
      </c>
      <c r="R791" s="71" t="s">
        <v>91</v>
      </c>
      <c r="S791" s="75" t="str">
        <f t="shared" si="12"/>
        <v>IA_AUDUBON</v>
      </c>
    </row>
    <row r="792" spans="17:19" x14ac:dyDescent="0.2">
      <c r="Q792" s="31" t="s">
        <v>307</v>
      </c>
      <c r="R792" s="72" t="s">
        <v>91</v>
      </c>
      <c r="S792" s="75" t="str">
        <f t="shared" si="12"/>
        <v>IA_BENTON</v>
      </c>
    </row>
    <row r="793" spans="17:19" x14ac:dyDescent="0.2">
      <c r="Q793" s="30" t="s">
        <v>778</v>
      </c>
      <c r="R793" s="71" t="s">
        <v>91</v>
      </c>
      <c r="S793" s="75" t="str">
        <f t="shared" si="12"/>
        <v>IA_BLACK HAWK</v>
      </c>
    </row>
    <row r="794" spans="17:19" x14ac:dyDescent="0.2">
      <c r="Q794" s="31" t="s">
        <v>308</v>
      </c>
      <c r="R794" s="72" t="s">
        <v>91</v>
      </c>
      <c r="S794" s="75" t="str">
        <f t="shared" si="12"/>
        <v>IA_BOONE</v>
      </c>
    </row>
    <row r="795" spans="17:19" x14ac:dyDescent="0.2">
      <c r="Q795" s="30" t="s">
        <v>779</v>
      </c>
      <c r="R795" s="71" t="s">
        <v>91</v>
      </c>
      <c r="S795" s="75" t="str">
        <f t="shared" si="12"/>
        <v>IA_BREMER</v>
      </c>
    </row>
    <row r="796" spans="17:19" x14ac:dyDescent="0.2">
      <c r="Q796" s="31" t="s">
        <v>780</v>
      </c>
      <c r="R796" s="72" t="s">
        <v>91</v>
      </c>
      <c r="S796" s="75" t="str">
        <f t="shared" si="12"/>
        <v>IA_BUCHANAN</v>
      </c>
    </row>
    <row r="797" spans="17:19" x14ac:dyDescent="0.2">
      <c r="Q797" s="30" t="s">
        <v>781</v>
      </c>
      <c r="R797" s="71" t="s">
        <v>91</v>
      </c>
      <c r="S797" s="75" t="str">
        <f t="shared" si="12"/>
        <v>IA_BUENA VISTA</v>
      </c>
    </row>
    <row r="798" spans="17:19" x14ac:dyDescent="0.2">
      <c r="Q798" s="31" t="s">
        <v>203</v>
      </c>
      <c r="R798" s="72" t="s">
        <v>91</v>
      </c>
      <c r="S798" s="75" t="str">
        <f t="shared" si="12"/>
        <v>IA_BUTLER</v>
      </c>
    </row>
    <row r="799" spans="17:19" x14ac:dyDescent="0.2">
      <c r="Q799" s="30" t="s">
        <v>204</v>
      </c>
      <c r="R799" s="71" t="s">
        <v>91</v>
      </c>
      <c r="S799" s="75" t="str">
        <f t="shared" si="12"/>
        <v>IA_CALHOUN</v>
      </c>
    </row>
    <row r="800" spans="17:19" x14ac:dyDescent="0.2">
      <c r="Q800" s="31" t="s">
        <v>310</v>
      </c>
      <c r="R800" s="72" t="s">
        <v>91</v>
      </c>
      <c r="S800" s="75" t="str">
        <f t="shared" si="12"/>
        <v>IA_CARROLL</v>
      </c>
    </row>
    <row r="801" spans="17:19" x14ac:dyDescent="0.2">
      <c r="Q801" s="30" t="s">
        <v>683</v>
      </c>
      <c r="R801" s="71" t="s">
        <v>91</v>
      </c>
      <c r="S801" s="75" t="str">
        <f t="shared" si="12"/>
        <v>IA_CASS</v>
      </c>
    </row>
    <row r="802" spans="17:19" x14ac:dyDescent="0.2">
      <c r="Q802" s="31" t="s">
        <v>782</v>
      </c>
      <c r="R802" s="72" t="s">
        <v>91</v>
      </c>
      <c r="S802" s="75" t="str">
        <f t="shared" si="12"/>
        <v>IA_CEDAR</v>
      </c>
    </row>
    <row r="803" spans="17:19" x14ac:dyDescent="0.2">
      <c r="Q803" s="30" t="s">
        <v>783</v>
      </c>
      <c r="R803" s="71" t="s">
        <v>91</v>
      </c>
      <c r="S803" s="75" t="str">
        <f t="shared" si="12"/>
        <v>IA_CERRO GORDO</v>
      </c>
    </row>
    <row r="804" spans="17:19" x14ac:dyDescent="0.2">
      <c r="Q804" s="31" t="s">
        <v>206</v>
      </c>
      <c r="R804" s="72" t="s">
        <v>91</v>
      </c>
      <c r="S804" s="75" t="str">
        <f t="shared" si="12"/>
        <v>IA_CHEROKEE</v>
      </c>
    </row>
    <row r="805" spans="17:19" x14ac:dyDescent="0.2">
      <c r="Q805" s="30" t="s">
        <v>784</v>
      </c>
      <c r="R805" s="71" t="s">
        <v>91</v>
      </c>
      <c r="S805" s="75" t="str">
        <f t="shared" si="12"/>
        <v>IA_CHICKASAW</v>
      </c>
    </row>
    <row r="806" spans="17:19" x14ac:dyDescent="0.2">
      <c r="Q806" s="31" t="s">
        <v>209</v>
      </c>
      <c r="R806" s="72" t="s">
        <v>91</v>
      </c>
      <c r="S806" s="75" t="str">
        <f t="shared" si="12"/>
        <v>IA_CLARKE</v>
      </c>
    </row>
    <row r="807" spans="17:19" x14ac:dyDescent="0.2">
      <c r="Q807" s="30" t="s">
        <v>210</v>
      </c>
      <c r="R807" s="71" t="s">
        <v>91</v>
      </c>
      <c r="S807" s="75" t="str">
        <f t="shared" si="12"/>
        <v>IA_CLAY</v>
      </c>
    </row>
    <row r="808" spans="17:19" x14ac:dyDescent="0.2">
      <c r="Q808" s="31" t="s">
        <v>555</v>
      </c>
      <c r="R808" s="72" t="s">
        <v>91</v>
      </c>
      <c r="S808" s="75" t="str">
        <f t="shared" si="12"/>
        <v>IA_CLAYTON</v>
      </c>
    </row>
    <row r="809" spans="17:19" x14ac:dyDescent="0.2">
      <c r="Q809" s="30" t="s">
        <v>686</v>
      </c>
      <c r="R809" s="71" t="s">
        <v>91</v>
      </c>
      <c r="S809" s="75" t="str">
        <f t="shared" si="12"/>
        <v>IA_CLINTON</v>
      </c>
    </row>
    <row r="810" spans="17:19" x14ac:dyDescent="0.2">
      <c r="Q810" s="31" t="s">
        <v>317</v>
      </c>
      <c r="R810" s="72" t="s">
        <v>91</v>
      </c>
      <c r="S810" s="75" t="str">
        <f t="shared" si="12"/>
        <v>IA_CRAWFORD</v>
      </c>
    </row>
    <row r="811" spans="17:19" x14ac:dyDescent="0.2">
      <c r="Q811" s="30" t="s">
        <v>220</v>
      </c>
      <c r="R811" s="71" t="s">
        <v>91</v>
      </c>
      <c r="S811" s="75" t="str">
        <f t="shared" si="12"/>
        <v>IA_DALLAS</v>
      </c>
    </row>
    <row r="812" spans="17:19" x14ac:dyDescent="0.2">
      <c r="Q812" s="31" t="s">
        <v>785</v>
      </c>
      <c r="R812" s="72" t="s">
        <v>91</v>
      </c>
      <c r="S812" s="75" t="str">
        <f t="shared" si="12"/>
        <v>IA_DAVIS</v>
      </c>
    </row>
    <row r="813" spans="17:19" x14ac:dyDescent="0.2">
      <c r="Q813" s="30" t="s">
        <v>563</v>
      </c>
      <c r="R813" s="71" t="s">
        <v>91</v>
      </c>
      <c r="S813" s="75" t="str">
        <f t="shared" si="12"/>
        <v>IA_DECATUR</v>
      </c>
    </row>
    <row r="814" spans="17:19" x14ac:dyDescent="0.2">
      <c r="Q814" s="31" t="s">
        <v>738</v>
      </c>
      <c r="R814" s="72" t="s">
        <v>91</v>
      </c>
      <c r="S814" s="75" t="str">
        <f t="shared" si="12"/>
        <v>IA_DELAWARE</v>
      </c>
    </row>
    <row r="815" spans="17:19" x14ac:dyDescent="0.2">
      <c r="Q815" s="30" t="s">
        <v>786</v>
      </c>
      <c r="R815" s="71" t="s">
        <v>91</v>
      </c>
      <c r="S815" s="75" t="str">
        <f t="shared" si="12"/>
        <v>IA_DES MOINES</v>
      </c>
    </row>
    <row r="816" spans="17:19" x14ac:dyDescent="0.2">
      <c r="Q816" s="31" t="s">
        <v>787</v>
      </c>
      <c r="R816" s="72" t="s">
        <v>91</v>
      </c>
      <c r="S816" s="75" t="str">
        <f t="shared" si="12"/>
        <v>IA_DICKINSON</v>
      </c>
    </row>
    <row r="817" spans="17:19" x14ac:dyDescent="0.2">
      <c r="Q817" s="30" t="s">
        <v>788</v>
      </c>
      <c r="R817" s="71" t="s">
        <v>91</v>
      </c>
      <c r="S817" s="75" t="str">
        <f t="shared" si="12"/>
        <v>IA_DUBUQUE</v>
      </c>
    </row>
    <row r="818" spans="17:19" x14ac:dyDescent="0.2">
      <c r="Q818" s="31" t="s">
        <v>789</v>
      </c>
      <c r="R818" s="72" t="s">
        <v>91</v>
      </c>
      <c r="S818" s="75" t="str">
        <f t="shared" si="12"/>
        <v>IA_EMMET</v>
      </c>
    </row>
    <row r="819" spans="17:19" x14ac:dyDescent="0.2">
      <c r="Q819" s="30" t="s">
        <v>225</v>
      </c>
      <c r="R819" s="71" t="s">
        <v>91</v>
      </c>
      <c r="S819" s="75" t="str">
        <f t="shared" si="12"/>
        <v>IA_FAYETTE</v>
      </c>
    </row>
    <row r="820" spans="17:19" x14ac:dyDescent="0.2">
      <c r="Q820" s="31" t="s">
        <v>574</v>
      </c>
      <c r="R820" s="72" t="s">
        <v>91</v>
      </c>
      <c r="S820" s="75" t="str">
        <f t="shared" si="12"/>
        <v>IA_FLOYD</v>
      </c>
    </row>
    <row r="821" spans="17:19" x14ac:dyDescent="0.2">
      <c r="Q821" s="30" t="s">
        <v>226</v>
      </c>
      <c r="R821" s="71" t="s">
        <v>91</v>
      </c>
      <c r="S821" s="75" t="str">
        <f t="shared" si="12"/>
        <v>IA_FRANKLIN</v>
      </c>
    </row>
    <row r="822" spans="17:19" x14ac:dyDescent="0.2">
      <c r="Q822" s="31" t="s">
        <v>438</v>
      </c>
      <c r="R822" s="72" t="s">
        <v>91</v>
      </c>
      <c r="S822" s="75" t="str">
        <f t="shared" si="12"/>
        <v>IA_FREMONT</v>
      </c>
    </row>
    <row r="823" spans="17:19" x14ac:dyDescent="0.2">
      <c r="Q823" s="30" t="s">
        <v>228</v>
      </c>
      <c r="R823" s="71" t="s">
        <v>91</v>
      </c>
      <c r="S823" s="75" t="str">
        <f t="shared" si="12"/>
        <v>IA_GREENE</v>
      </c>
    </row>
    <row r="824" spans="17:19" x14ac:dyDescent="0.2">
      <c r="Q824" s="31" t="s">
        <v>695</v>
      </c>
      <c r="R824" s="72" t="s">
        <v>91</v>
      </c>
      <c r="S824" s="75" t="str">
        <f t="shared" si="12"/>
        <v>IA_GRUNDY</v>
      </c>
    </row>
    <row r="825" spans="17:19" x14ac:dyDescent="0.2">
      <c r="Q825" s="30" t="s">
        <v>790</v>
      </c>
      <c r="R825" s="71" t="s">
        <v>91</v>
      </c>
      <c r="S825" s="75" t="str">
        <f t="shared" si="12"/>
        <v>IA_GUTHRIE</v>
      </c>
    </row>
    <row r="826" spans="17:19" x14ac:dyDescent="0.2">
      <c r="Q826" s="31" t="s">
        <v>502</v>
      </c>
      <c r="R826" s="72" t="s">
        <v>91</v>
      </c>
      <c r="S826" s="75" t="str">
        <f t="shared" si="12"/>
        <v>IA_HAMILTON</v>
      </c>
    </row>
    <row r="827" spans="17:19" x14ac:dyDescent="0.2">
      <c r="Q827" s="30" t="s">
        <v>584</v>
      </c>
      <c r="R827" s="71" t="s">
        <v>91</v>
      </c>
      <c r="S827" s="75" t="str">
        <f t="shared" si="12"/>
        <v>IA_HANCOCK</v>
      </c>
    </row>
    <row r="828" spans="17:19" x14ac:dyDescent="0.2">
      <c r="Q828" s="31" t="s">
        <v>696</v>
      </c>
      <c r="R828" s="72" t="s">
        <v>91</v>
      </c>
      <c r="S828" s="75" t="str">
        <f t="shared" si="12"/>
        <v>IA_HARDIN</v>
      </c>
    </row>
    <row r="829" spans="17:19" x14ac:dyDescent="0.2">
      <c r="Q829" s="30" t="s">
        <v>743</v>
      </c>
      <c r="R829" s="71" t="s">
        <v>91</v>
      </c>
      <c r="S829" s="75" t="str">
        <f t="shared" si="12"/>
        <v>IA_HARRISON</v>
      </c>
    </row>
    <row r="830" spans="17:19" x14ac:dyDescent="0.2">
      <c r="Q830" s="31" t="s">
        <v>230</v>
      </c>
      <c r="R830" s="72" t="s">
        <v>91</v>
      </c>
      <c r="S830" s="75" t="str">
        <f t="shared" si="12"/>
        <v>IA_HENRY</v>
      </c>
    </row>
    <row r="831" spans="17:19" x14ac:dyDescent="0.2">
      <c r="Q831" s="30" t="s">
        <v>328</v>
      </c>
      <c r="R831" s="71" t="s">
        <v>91</v>
      </c>
      <c r="S831" s="75" t="str">
        <f t="shared" si="12"/>
        <v>IA_HOWARD</v>
      </c>
    </row>
    <row r="832" spans="17:19" x14ac:dyDescent="0.2">
      <c r="Q832" s="31" t="s">
        <v>372</v>
      </c>
      <c r="R832" s="72" t="s">
        <v>91</v>
      </c>
      <c r="S832" s="75" t="str">
        <f t="shared" si="12"/>
        <v>IA_HUMBOLDT</v>
      </c>
    </row>
    <row r="833" spans="17:19" x14ac:dyDescent="0.2">
      <c r="Q833" s="30" t="s">
        <v>791</v>
      </c>
      <c r="R833" s="71" t="s">
        <v>91</v>
      </c>
      <c r="S833" s="75" t="str">
        <f t="shared" si="12"/>
        <v>IA_IDA</v>
      </c>
    </row>
    <row r="834" spans="17:19" x14ac:dyDescent="0.2">
      <c r="Q834" s="31" t="s">
        <v>792</v>
      </c>
      <c r="R834" s="72" t="s">
        <v>91</v>
      </c>
      <c r="S834" s="75" t="str">
        <f t="shared" si="12"/>
        <v>IA_IOWA</v>
      </c>
    </row>
    <row r="835" spans="17:19" x14ac:dyDescent="0.2">
      <c r="Q835" s="30" t="s">
        <v>232</v>
      </c>
      <c r="R835" s="71" t="s">
        <v>91</v>
      </c>
      <c r="S835" s="75" t="str">
        <f t="shared" si="12"/>
        <v>IA_JACKSON</v>
      </c>
    </row>
    <row r="836" spans="17:19" x14ac:dyDescent="0.2">
      <c r="Q836" s="31" t="s">
        <v>590</v>
      </c>
      <c r="R836" s="72" t="s">
        <v>91</v>
      </c>
      <c r="S836" s="75" t="str">
        <f t="shared" ref="S836:S899" si="13">UPPER(CONCATENATE(TRIM(R836),"_",TRIM(Q836)))</f>
        <v>IA_JASPER</v>
      </c>
    </row>
    <row r="837" spans="17:19" x14ac:dyDescent="0.2">
      <c r="Q837" s="30" t="s">
        <v>233</v>
      </c>
      <c r="R837" s="71" t="s">
        <v>91</v>
      </c>
      <c r="S837" s="75" t="str">
        <f t="shared" si="13"/>
        <v>IA_JEFFERSON</v>
      </c>
    </row>
    <row r="838" spans="17:19" x14ac:dyDescent="0.2">
      <c r="Q838" s="31" t="s">
        <v>331</v>
      </c>
      <c r="R838" s="72" t="s">
        <v>91</v>
      </c>
      <c r="S838" s="75" t="str">
        <f t="shared" si="13"/>
        <v>IA_JOHNSON</v>
      </c>
    </row>
    <row r="839" spans="17:19" x14ac:dyDescent="0.2">
      <c r="Q839" s="30" t="s">
        <v>593</v>
      </c>
      <c r="R839" s="71" t="s">
        <v>91</v>
      </c>
      <c r="S839" s="75" t="str">
        <f t="shared" si="13"/>
        <v>IA_JONES</v>
      </c>
    </row>
    <row r="840" spans="17:19" x14ac:dyDescent="0.2">
      <c r="Q840" s="31" t="s">
        <v>793</v>
      </c>
      <c r="R840" s="72" t="s">
        <v>91</v>
      </c>
      <c r="S840" s="75" t="str">
        <f t="shared" si="13"/>
        <v>IA_KEOKUK</v>
      </c>
    </row>
    <row r="841" spans="17:19" x14ac:dyDescent="0.2">
      <c r="Q841" s="30" t="s">
        <v>794</v>
      </c>
      <c r="R841" s="71" t="s">
        <v>91</v>
      </c>
      <c r="S841" s="75" t="str">
        <f t="shared" si="13"/>
        <v>IA_KOSSUTH</v>
      </c>
    </row>
    <row r="842" spans="17:19" x14ac:dyDescent="0.2">
      <c r="Q842" s="31" t="s">
        <v>237</v>
      </c>
      <c r="R842" s="72" t="s">
        <v>91</v>
      </c>
      <c r="S842" s="75" t="str">
        <f t="shared" si="13"/>
        <v>IA_LEE</v>
      </c>
    </row>
    <row r="843" spans="17:19" x14ac:dyDescent="0.2">
      <c r="Q843" s="30" t="s">
        <v>795</v>
      </c>
      <c r="R843" s="71" t="s">
        <v>91</v>
      </c>
      <c r="S843" s="75" t="str">
        <f t="shared" si="13"/>
        <v>IA_LINN</v>
      </c>
    </row>
    <row r="844" spans="17:19" x14ac:dyDescent="0.2">
      <c r="Q844" s="31" t="s">
        <v>796</v>
      </c>
      <c r="R844" s="72" t="s">
        <v>91</v>
      </c>
      <c r="S844" s="75" t="str">
        <f t="shared" si="13"/>
        <v>IA_LOUISA</v>
      </c>
    </row>
    <row r="845" spans="17:19" x14ac:dyDescent="0.2">
      <c r="Q845" s="30" t="s">
        <v>797</v>
      </c>
      <c r="R845" s="71" t="s">
        <v>91</v>
      </c>
      <c r="S845" s="75" t="str">
        <f t="shared" si="13"/>
        <v>IA_LUCAS</v>
      </c>
    </row>
    <row r="846" spans="17:19" x14ac:dyDescent="0.2">
      <c r="Q846" s="31" t="s">
        <v>798</v>
      </c>
      <c r="R846" s="72" t="s">
        <v>91</v>
      </c>
      <c r="S846" s="75" t="str">
        <f t="shared" si="13"/>
        <v>IA_LYON</v>
      </c>
    </row>
    <row r="847" spans="17:19" x14ac:dyDescent="0.2">
      <c r="Q847" s="30" t="s">
        <v>241</v>
      </c>
      <c r="R847" s="71" t="s">
        <v>91</v>
      </c>
      <c r="S847" s="75" t="str">
        <f t="shared" si="13"/>
        <v>IA_MADISON</v>
      </c>
    </row>
    <row r="848" spans="17:19" x14ac:dyDescent="0.2">
      <c r="Q848" s="31" t="s">
        <v>799</v>
      </c>
      <c r="R848" s="72" t="s">
        <v>91</v>
      </c>
      <c r="S848" s="75" t="str">
        <f t="shared" si="13"/>
        <v>IA_MAHASKA</v>
      </c>
    </row>
    <row r="849" spans="17:19" x14ac:dyDescent="0.2">
      <c r="Q849" s="30" t="s">
        <v>243</v>
      </c>
      <c r="R849" s="71" t="s">
        <v>91</v>
      </c>
      <c r="S849" s="75" t="str">
        <f t="shared" si="13"/>
        <v>IA_MARION</v>
      </c>
    </row>
    <row r="850" spans="17:19" x14ac:dyDescent="0.2">
      <c r="Q850" s="31" t="s">
        <v>244</v>
      </c>
      <c r="R850" s="72" t="s">
        <v>91</v>
      </c>
      <c r="S850" s="75" t="str">
        <f t="shared" si="13"/>
        <v>IA_MARSHALL</v>
      </c>
    </row>
    <row r="851" spans="17:19" x14ac:dyDescent="0.2">
      <c r="Q851" s="30" t="s">
        <v>800</v>
      </c>
      <c r="R851" s="71" t="s">
        <v>91</v>
      </c>
      <c r="S851" s="75" t="str">
        <f t="shared" si="13"/>
        <v>IA_MILLS</v>
      </c>
    </row>
    <row r="852" spans="17:19" x14ac:dyDescent="0.2">
      <c r="Q852" s="31" t="s">
        <v>601</v>
      </c>
      <c r="R852" s="72" t="s">
        <v>91</v>
      </c>
      <c r="S852" s="75" t="str">
        <f t="shared" si="13"/>
        <v>IA_MITCHELL</v>
      </c>
    </row>
    <row r="853" spans="17:19" x14ac:dyDescent="0.2">
      <c r="Q853" s="30" t="s">
        <v>801</v>
      </c>
      <c r="R853" s="71" t="s">
        <v>91</v>
      </c>
      <c r="S853" s="75" t="str">
        <f t="shared" si="13"/>
        <v>IA_MONONA</v>
      </c>
    </row>
    <row r="854" spans="17:19" x14ac:dyDescent="0.2">
      <c r="Q854" s="31" t="s">
        <v>246</v>
      </c>
      <c r="R854" s="72" t="s">
        <v>91</v>
      </c>
      <c r="S854" s="75" t="str">
        <f t="shared" si="13"/>
        <v>IA_MONROE</v>
      </c>
    </row>
    <row r="855" spans="17:19" x14ac:dyDescent="0.2">
      <c r="Q855" s="30" t="s">
        <v>247</v>
      </c>
      <c r="R855" s="71" t="s">
        <v>91</v>
      </c>
      <c r="S855" s="75" t="str">
        <f t="shared" si="13"/>
        <v>IA_MONTGOMERY</v>
      </c>
    </row>
    <row r="856" spans="17:19" x14ac:dyDescent="0.2">
      <c r="Q856" s="31" t="s">
        <v>802</v>
      </c>
      <c r="R856" s="72" t="s">
        <v>91</v>
      </c>
      <c r="S856" s="75" t="str">
        <f t="shared" si="13"/>
        <v>IA_MUSCATINE</v>
      </c>
    </row>
    <row r="857" spans="17:19" x14ac:dyDescent="0.2">
      <c r="Q857" s="30" t="s">
        <v>803</v>
      </c>
      <c r="R857" s="71" t="s">
        <v>91</v>
      </c>
      <c r="S857" s="75" t="str">
        <f t="shared" si="13"/>
        <v>IA_O'BRIEN</v>
      </c>
    </row>
    <row r="858" spans="17:19" x14ac:dyDescent="0.2">
      <c r="Q858" s="31" t="s">
        <v>518</v>
      </c>
      <c r="R858" s="72" t="s">
        <v>91</v>
      </c>
      <c r="S858" s="75" t="str">
        <f t="shared" si="13"/>
        <v>IA_OSCEOLA</v>
      </c>
    </row>
    <row r="859" spans="17:19" x14ac:dyDescent="0.2">
      <c r="Q859" s="30" t="s">
        <v>804</v>
      </c>
      <c r="R859" s="71" t="s">
        <v>91</v>
      </c>
      <c r="S859" s="75" t="str">
        <f t="shared" si="13"/>
        <v>IA_PAGE</v>
      </c>
    </row>
    <row r="860" spans="17:19" x14ac:dyDescent="0.2">
      <c r="Q860" s="31" t="s">
        <v>805</v>
      </c>
      <c r="R860" s="72" t="s">
        <v>91</v>
      </c>
      <c r="S860" s="75" t="str">
        <f t="shared" si="13"/>
        <v>IA_PALO ALTO</v>
      </c>
    </row>
    <row r="861" spans="17:19" x14ac:dyDescent="0.2">
      <c r="Q861" s="30" t="s">
        <v>806</v>
      </c>
      <c r="R861" s="71" t="s">
        <v>91</v>
      </c>
      <c r="S861" s="75" t="str">
        <f t="shared" si="13"/>
        <v>IA_PLYMOUTH</v>
      </c>
    </row>
    <row r="862" spans="17:19" x14ac:dyDescent="0.2">
      <c r="Q862" s="31" t="s">
        <v>807</v>
      </c>
      <c r="R862" s="72" t="s">
        <v>91</v>
      </c>
      <c r="S862" s="75" t="str">
        <f t="shared" si="13"/>
        <v>IA_POCAHONTAS</v>
      </c>
    </row>
    <row r="863" spans="17:19" x14ac:dyDescent="0.2">
      <c r="Q863" s="30" t="s">
        <v>344</v>
      </c>
      <c r="R863" s="71" t="s">
        <v>91</v>
      </c>
      <c r="S863" s="75" t="str">
        <f t="shared" si="13"/>
        <v>IA_POLK</v>
      </c>
    </row>
    <row r="864" spans="17:19" x14ac:dyDescent="0.2">
      <c r="Q864" s="31" t="s">
        <v>808</v>
      </c>
      <c r="R864" s="72" t="s">
        <v>91</v>
      </c>
      <c r="S864" s="75" t="str">
        <f t="shared" si="13"/>
        <v>IA_POTTAWATTAMIE</v>
      </c>
    </row>
    <row r="865" spans="17:19" x14ac:dyDescent="0.2">
      <c r="Q865" s="30" t="s">
        <v>809</v>
      </c>
      <c r="R865" s="71" t="s">
        <v>91</v>
      </c>
      <c r="S865" s="75" t="str">
        <f t="shared" si="13"/>
        <v>IA_POWESHIEK</v>
      </c>
    </row>
    <row r="866" spans="17:19" x14ac:dyDescent="0.2">
      <c r="Q866" s="31" t="s">
        <v>810</v>
      </c>
      <c r="R866" s="72" t="s">
        <v>91</v>
      </c>
      <c r="S866" s="75" t="str">
        <f t="shared" si="13"/>
        <v>IA_RINGGOLD</v>
      </c>
    </row>
    <row r="867" spans="17:19" x14ac:dyDescent="0.2">
      <c r="Q867" s="30" t="s">
        <v>811</v>
      </c>
      <c r="R867" s="71" t="s">
        <v>91</v>
      </c>
      <c r="S867" s="75" t="str">
        <f t="shared" si="13"/>
        <v>IA_SAC</v>
      </c>
    </row>
    <row r="868" spans="17:19" x14ac:dyDescent="0.2">
      <c r="Q868" s="31" t="s">
        <v>350</v>
      </c>
      <c r="R868" s="72" t="s">
        <v>91</v>
      </c>
      <c r="S868" s="75" t="str">
        <f t="shared" si="13"/>
        <v>IA_SCOTT</v>
      </c>
    </row>
    <row r="869" spans="17:19" x14ac:dyDescent="0.2">
      <c r="Q869" s="30" t="s">
        <v>255</v>
      </c>
      <c r="R869" s="71" t="s">
        <v>91</v>
      </c>
      <c r="S869" s="75" t="str">
        <f t="shared" si="13"/>
        <v>IA_SHELBY</v>
      </c>
    </row>
    <row r="870" spans="17:19" x14ac:dyDescent="0.2">
      <c r="Q870" s="31" t="s">
        <v>812</v>
      </c>
      <c r="R870" s="72" t="s">
        <v>91</v>
      </c>
      <c r="S870" s="75" t="str">
        <f t="shared" si="13"/>
        <v>IA_SIOUX</v>
      </c>
    </row>
    <row r="871" spans="17:19" x14ac:dyDescent="0.2">
      <c r="Q871" s="30" t="s">
        <v>813</v>
      </c>
      <c r="R871" s="71" t="s">
        <v>91</v>
      </c>
      <c r="S871" s="75" t="str">
        <f t="shared" si="13"/>
        <v>IA_STORY</v>
      </c>
    </row>
    <row r="872" spans="17:19" x14ac:dyDescent="0.2">
      <c r="Q872" s="31" t="s">
        <v>814</v>
      </c>
      <c r="R872" s="72" t="s">
        <v>91</v>
      </c>
      <c r="S872" s="75" t="str">
        <f t="shared" si="13"/>
        <v>IA_TAMA</v>
      </c>
    </row>
    <row r="873" spans="17:19" x14ac:dyDescent="0.2">
      <c r="Q873" s="30" t="s">
        <v>529</v>
      </c>
      <c r="R873" s="71" t="s">
        <v>91</v>
      </c>
      <c r="S873" s="75" t="str">
        <f t="shared" si="13"/>
        <v>IA_TAYLOR</v>
      </c>
    </row>
    <row r="874" spans="17:19" x14ac:dyDescent="0.2">
      <c r="Q874" s="31" t="s">
        <v>356</v>
      </c>
      <c r="R874" s="72" t="s">
        <v>91</v>
      </c>
      <c r="S874" s="75" t="str">
        <f t="shared" si="13"/>
        <v>IA_UNION</v>
      </c>
    </row>
    <row r="875" spans="17:19" x14ac:dyDescent="0.2">
      <c r="Q875" s="30" t="s">
        <v>357</v>
      </c>
      <c r="R875" s="71" t="s">
        <v>91</v>
      </c>
      <c r="S875" s="75" t="str">
        <f t="shared" si="13"/>
        <v>IA_VAN BUREN</v>
      </c>
    </row>
    <row r="876" spans="17:19" x14ac:dyDescent="0.2">
      <c r="Q876" s="31" t="s">
        <v>815</v>
      </c>
      <c r="R876" s="72" t="s">
        <v>91</v>
      </c>
      <c r="S876" s="75" t="str">
        <f t="shared" si="13"/>
        <v>IA_WAPELLO</v>
      </c>
    </row>
    <row r="877" spans="17:19" x14ac:dyDescent="0.2">
      <c r="Q877" s="30" t="s">
        <v>633</v>
      </c>
      <c r="R877" s="71" t="s">
        <v>91</v>
      </c>
      <c r="S877" s="75" t="str">
        <f t="shared" si="13"/>
        <v>IA_WARREN</v>
      </c>
    </row>
    <row r="878" spans="17:19" x14ac:dyDescent="0.2">
      <c r="Q878" s="31" t="s">
        <v>261</v>
      </c>
      <c r="R878" s="72" t="s">
        <v>91</v>
      </c>
      <c r="S878" s="75" t="str">
        <f t="shared" si="13"/>
        <v>IA_WASHINGTON</v>
      </c>
    </row>
    <row r="879" spans="17:19" x14ac:dyDescent="0.2">
      <c r="Q879" s="30" t="s">
        <v>634</v>
      </c>
      <c r="R879" s="71" t="s">
        <v>91</v>
      </c>
      <c r="S879" s="75" t="str">
        <f t="shared" si="13"/>
        <v>IA_WAYNE</v>
      </c>
    </row>
    <row r="880" spans="17:19" x14ac:dyDescent="0.2">
      <c r="Q880" s="31" t="s">
        <v>635</v>
      </c>
      <c r="R880" s="72" t="s">
        <v>91</v>
      </c>
      <c r="S880" s="75" t="str">
        <f t="shared" si="13"/>
        <v>IA_WEBSTER</v>
      </c>
    </row>
    <row r="881" spans="17:19" x14ac:dyDescent="0.2">
      <c r="Q881" s="30" t="s">
        <v>731</v>
      </c>
      <c r="R881" s="71" t="s">
        <v>91</v>
      </c>
      <c r="S881" s="75" t="str">
        <f t="shared" si="13"/>
        <v>IA_WINNEBAGO</v>
      </c>
    </row>
    <row r="882" spans="17:19" x14ac:dyDescent="0.2">
      <c r="Q882" s="31" t="s">
        <v>816</v>
      </c>
      <c r="R882" s="72" t="s">
        <v>91</v>
      </c>
      <c r="S882" s="75" t="str">
        <f t="shared" si="13"/>
        <v>IA_WINNESHIEK</v>
      </c>
    </row>
    <row r="883" spans="17:19" x14ac:dyDescent="0.2">
      <c r="Q883" s="30" t="s">
        <v>817</v>
      </c>
      <c r="R883" s="71" t="s">
        <v>91</v>
      </c>
      <c r="S883" s="75" t="str">
        <f t="shared" si="13"/>
        <v>IA_WOODBURY</v>
      </c>
    </row>
    <row r="884" spans="17:19" x14ac:dyDescent="0.2">
      <c r="Q884" s="31" t="s">
        <v>640</v>
      </c>
      <c r="R884" s="72" t="s">
        <v>91</v>
      </c>
      <c r="S884" s="75" t="str">
        <f t="shared" si="13"/>
        <v>IA_WORTH</v>
      </c>
    </row>
    <row r="885" spans="17:19" x14ac:dyDescent="0.2">
      <c r="Q885" s="30" t="s">
        <v>818</v>
      </c>
      <c r="R885" s="71" t="s">
        <v>91</v>
      </c>
      <c r="S885" s="75" t="str">
        <f t="shared" si="13"/>
        <v>IA_WRIGHT</v>
      </c>
    </row>
    <row r="886" spans="17:19" x14ac:dyDescent="0.2">
      <c r="Q886" s="31" t="s">
        <v>733</v>
      </c>
      <c r="R886" s="72" t="s">
        <v>90</v>
      </c>
      <c r="S886" s="75" t="str">
        <f t="shared" si="13"/>
        <v>KS_ALLEN</v>
      </c>
    </row>
    <row r="887" spans="17:19" x14ac:dyDescent="0.2">
      <c r="Q887" s="30" t="s">
        <v>819</v>
      </c>
      <c r="R887" s="71" t="s">
        <v>90</v>
      </c>
      <c r="S887" s="75" t="str">
        <f t="shared" si="13"/>
        <v>KS_ANDERSON</v>
      </c>
    </row>
    <row r="888" spans="17:19" x14ac:dyDescent="0.2">
      <c r="Q888" s="31" t="s">
        <v>820</v>
      </c>
      <c r="R888" s="72" t="s">
        <v>90</v>
      </c>
      <c r="S888" s="75" t="str">
        <f t="shared" si="13"/>
        <v>KS_ATCHISON</v>
      </c>
    </row>
    <row r="889" spans="17:19" x14ac:dyDescent="0.2">
      <c r="Q889" s="30" t="s">
        <v>821</v>
      </c>
      <c r="R889" s="71" t="s">
        <v>90</v>
      </c>
      <c r="S889" s="75" t="str">
        <f t="shared" si="13"/>
        <v>KS_BARBER</v>
      </c>
    </row>
    <row r="890" spans="17:19" x14ac:dyDescent="0.2">
      <c r="Q890" s="31" t="s">
        <v>822</v>
      </c>
      <c r="R890" s="72" t="s">
        <v>90</v>
      </c>
      <c r="S890" s="75" t="str">
        <f t="shared" si="13"/>
        <v>KS_BARTON</v>
      </c>
    </row>
    <row r="891" spans="17:19" x14ac:dyDescent="0.2">
      <c r="Q891" s="30" t="s">
        <v>823</v>
      </c>
      <c r="R891" s="71" t="s">
        <v>90</v>
      </c>
      <c r="S891" s="75" t="str">
        <f t="shared" si="13"/>
        <v>KS_BOURBON</v>
      </c>
    </row>
    <row r="892" spans="17:19" x14ac:dyDescent="0.2">
      <c r="Q892" s="31" t="s">
        <v>681</v>
      </c>
      <c r="R892" s="72" t="s">
        <v>90</v>
      </c>
      <c r="S892" s="75" t="str">
        <f t="shared" si="13"/>
        <v>KS_BROWN</v>
      </c>
    </row>
    <row r="893" spans="17:19" x14ac:dyDescent="0.2">
      <c r="Q893" s="30" t="s">
        <v>203</v>
      </c>
      <c r="R893" s="71" t="s">
        <v>90</v>
      </c>
      <c r="S893" s="75" t="str">
        <f t="shared" si="13"/>
        <v>KS_BUTLER</v>
      </c>
    </row>
    <row r="894" spans="17:19" x14ac:dyDescent="0.2">
      <c r="Q894" s="31" t="s">
        <v>824</v>
      </c>
      <c r="R894" s="72" t="s">
        <v>90</v>
      </c>
      <c r="S894" s="75" t="str">
        <f t="shared" si="13"/>
        <v>KS_CHASE</v>
      </c>
    </row>
    <row r="895" spans="17:19" x14ac:dyDescent="0.2">
      <c r="Q895" s="30" t="s">
        <v>825</v>
      </c>
      <c r="R895" s="71" t="s">
        <v>90</v>
      </c>
      <c r="S895" s="75" t="str">
        <f t="shared" si="13"/>
        <v>KS_CHAUTAUQUA</v>
      </c>
    </row>
    <row r="896" spans="17:19" x14ac:dyDescent="0.2">
      <c r="Q896" s="31" t="s">
        <v>206</v>
      </c>
      <c r="R896" s="72" t="s">
        <v>90</v>
      </c>
      <c r="S896" s="75" t="str">
        <f t="shared" si="13"/>
        <v>KS_CHEROKEE</v>
      </c>
    </row>
    <row r="897" spans="17:19" x14ac:dyDescent="0.2">
      <c r="Q897" s="30" t="s">
        <v>425</v>
      </c>
      <c r="R897" s="71" t="s">
        <v>90</v>
      </c>
      <c r="S897" s="75" t="str">
        <f t="shared" si="13"/>
        <v>KS_CHEYENNE</v>
      </c>
    </row>
    <row r="898" spans="17:19" x14ac:dyDescent="0.2">
      <c r="Q898" s="31" t="s">
        <v>312</v>
      </c>
      <c r="R898" s="72" t="s">
        <v>90</v>
      </c>
      <c r="S898" s="75" t="str">
        <f t="shared" si="13"/>
        <v>KS_CLARK</v>
      </c>
    </row>
    <row r="899" spans="17:19" x14ac:dyDescent="0.2">
      <c r="Q899" s="30" t="s">
        <v>210</v>
      </c>
      <c r="R899" s="71" t="s">
        <v>90</v>
      </c>
      <c r="S899" s="75" t="str">
        <f t="shared" si="13"/>
        <v>KS_CLAY</v>
      </c>
    </row>
    <row r="900" spans="17:19" x14ac:dyDescent="0.2">
      <c r="Q900" s="31" t="s">
        <v>826</v>
      </c>
      <c r="R900" s="72" t="s">
        <v>90</v>
      </c>
      <c r="S900" s="75" t="str">
        <f t="shared" ref="S900:S963" si="14">UPPER(CONCATENATE(TRIM(R900),"_",TRIM(Q900)))</f>
        <v>KS_CLOUD</v>
      </c>
    </row>
    <row r="901" spans="17:19" x14ac:dyDescent="0.2">
      <c r="Q901" s="30" t="s">
        <v>827</v>
      </c>
      <c r="R901" s="71" t="s">
        <v>90</v>
      </c>
      <c r="S901" s="75" t="str">
        <f t="shared" si="14"/>
        <v>KS_COFFEY</v>
      </c>
    </row>
    <row r="902" spans="17:19" x14ac:dyDescent="0.2">
      <c r="Q902" s="31" t="s">
        <v>828</v>
      </c>
      <c r="R902" s="72" t="s">
        <v>90</v>
      </c>
      <c r="S902" s="75" t="str">
        <f t="shared" si="14"/>
        <v>KS_COMANCHE</v>
      </c>
    </row>
    <row r="903" spans="17:19" x14ac:dyDescent="0.2">
      <c r="Q903" s="30" t="s">
        <v>829</v>
      </c>
      <c r="R903" s="71" t="s">
        <v>90</v>
      </c>
      <c r="S903" s="75" t="str">
        <f t="shared" si="14"/>
        <v>KS_COWLEY</v>
      </c>
    </row>
    <row r="904" spans="17:19" x14ac:dyDescent="0.2">
      <c r="Q904" s="31" t="s">
        <v>317</v>
      </c>
      <c r="R904" s="72" t="s">
        <v>90</v>
      </c>
      <c r="S904" s="75" t="str">
        <f t="shared" si="14"/>
        <v>KS_CRAWFORD</v>
      </c>
    </row>
    <row r="905" spans="17:19" x14ac:dyDescent="0.2">
      <c r="Q905" s="30" t="s">
        <v>563</v>
      </c>
      <c r="R905" s="71" t="s">
        <v>90</v>
      </c>
      <c r="S905" s="75" t="str">
        <f t="shared" si="14"/>
        <v>KS_DECATUR</v>
      </c>
    </row>
    <row r="906" spans="17:19" x14ac:dyDescent="0.2">
      <c r="Q906" s="31" t="s">
        <v>787</v>
      </c>
      <c r="R906" s="72" t="s">
        <v>90</v>
      </c>
      <c r="S906" s="75" t="str">
        <f t="shared" si="14"/>
        <v>KS_DICKINSON</v>
      </c>
    </row>
    <row r="907" spans="17:19" x14ac:dyDescent="0.2">
      <c r="Q907" s="30" t="s">
        <v>830</v>
      </c>
      <c r="R907" s="71" t="s">
        <v>90</v>
      </c>
      <c r="S907" s="75" t="str">
        <f t="shared" si="14"/>
        <v>KS_DONIPHAN</v>
      </c>
    </row>
    <row r="908" spans="17:19" x14ac:dyDescent="0.2">
      <c r="Q908" s="31" t="s">
        <v>434</v>
      </c>
      <c r="R908" s="72" t="s">
        <v>90</v>
      </c>
      <c r="S908" s="75" t="str">
        <f t="shared" si="14"/>
        <v>KS_DOUGLAS</v>
      </c>
    </row>
    <row r="909" spans="17:19" x14ac:dyDescent="0.2">
      <c r="Q909" s="30" t="s">
        <v>692</v>
      </c>
      <c r="R909" s="71" t="s">
        <v>90</v>
      </c>
      <c r="S909" s="75" t="str">
        <f t="shared" si="14"/>
        <v>KS_EDWARDS</v>
      </c>
    </row>
    <row r="910" spans="17:19" x14ac:dyDescent="0.2">
      <c r="Q910" s="31" t="s">
        <v>831</v>
      </c>
      <c r="R910" s="72" t="s">
        <v>90</v>
      </c>
      <c r="S910" s="75" t="str">
        <f t="shared" si="14"/>
        <v>KS_ELK</v>
      </c>
    </row>
    <row r="911" spans="17:19" x14ac:dyDescent="0.2">
      <c r="Q911" s="30" t="s">
        <v>832</v>
      </c>
      <c r="R911" s="71" t="s">
        <v>90</v>
      </c>
      <c r="S911" s="75" t="str">
        <f t="shared" si="14"/>
        <v>KS_ELLIS</v>
      </c>
    </row>
    <row r="912" spans="17:19" x14ac:dyDescent="0.2">
      <c r="Q912" s="31" t="s">
        <v>833</v>
      </c>
      <c r="R912" s="72" t="s">
        <v>90</v>
      </c>
      <c r="S912" s="75" t="str">
        <f t="shared" si="14"/>
        <v>KS_ELLSWORTH</v>
      </c>
    </row>
    <row r="913" spans="17:19" x14ac:dyDescent="0.2">
      <c r="Q913" s="30" t="s">
        <v>834</v>
      </c>
      <c r="R913" s="71" t="s">
        <v>90</v>
      </c>
      <c r="S913" s="75" t="str">
        <f t="shared" si="14"/>
        <v>KS_FINNEY</v>
      </c>
    </row>
    <row r="914" spans="17:19" x14ac:dyDescent="0.2">
      <c r="Q914" s="31" t="s">
        <v>693</v>
      </c>
      <c r="R914" s="72" t="s">
        <v>90</v>
      </c>
      <c r="S914" s="75" t="str">
        <f t="shared" si="14"/>
        <v>KS_FORD</v>
      </c>
    </row>
    <row r="915" spans="17:19" x14ac:dyDescent="0.2">
      <c r="Q915" s="30" t="s">
        <v>226</v>
      </c>
      <c r="R915" s="71" t="s">
        <v>90</v>
      </c>
      <c r="S915" s="75" t="str">
        <f t="shared" si="14"/>
        <v>KS_FRANKLIN</v>
      </c>
    </row>
    <row r="916" spans="17:19" x14ac:dyDescent="0.2">
      <c r="Q916" s="31" t="s">
        <v>835</v>
      </c>
      <c r="R916" s="72" t="s">
        <v>90</v>
      </c>
      <c r="S916" s="75" t="str">
        <f t="shared" si="14"/>
        <v>KS_GEARY</v>
      </c>
    </row>
    <row r="917" spans="17:19" x14ac:dyDescent="0.2">
      <c r="Q917" s="30" t="s">
        <v>836</v>
      </c>
      <c r="R917" s="71" t="s">
        <v>90</v>
      </c>
      <c r="S917" s="75" t="str">
        <f t="shared" si="14"/>
        <v>KS_GOVE</v>
      </c>
    </row>
    <row r="918" spans="17:19" x14ac:dyDescent="0.2">
      <c r="Q918" s="31" t="s">
        <v>293</v>
      </c>
      <c r="R918" s="72" t="s">
        <v>90</v>
      </c>
      <c r="S918" s="75" t="str">
        <f t="shared" si="14"/>
        <v>KS_GRAHAM</v>
      </c>
    </row>
    <row r="919" spans="17:19" x14ac:dyDescent="0.2">
      <c r="Q919" s="30" t="s">
        <v>325</v>
      </c>
      <c r="R919" s="71" t="s">
        <v>90</v>
      </c>
      <c r="S919" s="75" t="str">
        <f t="shared" si="14"/>
        <v>KS_GRANT</v>
      </c>
    </row>
    <row r="920" spans="17:19" x14ac:dyDescent="0.2">
      <c r="Q920" s="31" t="s">
        <v>837</v>
      </c>
      <c r="R920" s="72" t="s">
        <v>90</v>
      </c>
      <c r="S920" s="75" t="str">
        <f t="shared" si="14"/>
        <v>KS_GRAY</v>
      </c>
    </row>
    <row r="921" spans="17:19" x14ac:dyDescent="0.2">
      <c r="Q921" s="30" t="s">
        <v>838</v>
      </c>
      <c r="R921" s="71" t="s">
        <v>90</v>
      </c>
      <c r="S921" s="75" t="str">
        <f t="shared" si="14"/>
        <v>KS_GREELEY</v>
      </c>
    </row>
    <row r="922" spans="17:19" x14ac:dyDescent="0.2">
      <c r="Q922" s="31" t="s">
        <v>839</v>
      </c>
      <c r="R922" s="72" t="s">
        <v>90</v>
      </c>
      <c r="S922" s="75" t="str">
        <f t="shared" si="14"/>
        <v>KS_GREENWOOD</v>
      </c>
    </row>
    <row r="923" spans="17:19" x14ac:dyDescent="0.2">
      <c r="Q923" s="30" t="s">
        <v>502</v>
      </c>
      <c r="R923" s="71" t="s">
        <v>90</v>
      </c>
      <c r="S923" s="75" t="str">
        <f t="shared" si="14"/>
        <v>KS_HAMILTON</v>
      </c>
    </row>
    <row r="924" spans="17:19" x14ac:dyDescent="0.2">
      <c r="Q924" s="31" t="s">
        <v>840</v>
      </c>
      <c r="R924" s="72" t="s">
        <v>90</v>
      </c>
      <c r="S924" s="75" t="str">
        <f t="shared" si="14"/>
        <v>KS_HARPER</v>
      </c>
    </row>
    <row r="925" spans="17:19" x14ac:dyDescent="0.2">
      <c r="Q925" s="30" t="s">
        <v>841</v>
      </c>
      <c r="R925" s="71" t="s">
        <v>90</v>
      </c>
      <c r="S925" s="75" t="str">
        <f t="shared" si="14"/>
        <v>KS_HARVEY</v>
      </c>
    </row>
    <row r="926" spans="17:19" x14ac:dyDescent="0.2">
      <c r="Q926" s="31" t="s">
        <v>842</v>
      </c>
      <c r="R926" s="72" t="s">
        <v>90</v>
      </c>
      <c r="S926" s="75" t="str">
        <f t="shared" si="14"/>
        <v>KS_HASKELL</v>
      </c>
    </row>
    <row r="927" spans="17:19" x14ac:dyDescent="0.2">
      <c r="Q927" s="30" t="s">
        <v>843</v>
      </c>
      <c r="R927" s="71" t="s">
        <v>90</v>
      </c>
      <c r="S927" s="75" t="str">
        <f t="shared" si="14"/>
        <v>KS_HODGEMAN</v>
      </c>
    </row>
    <row r="928" spans="17:19" x14ac:dyDescent="0.2">
      <c r="Q928" s="31" t="s">
        <v>232</v>
      </c>
      <c r="R928" s="72" t="s">
        <v>90</v>
      </c>
      <c r="S928" s="75" t="str">
        <f t="shared" si="14"/>
        <v>KS_JACKSON</v>
      </c>
    </row>
    <row r="929" spans="17:19" x14ac:dyDescent="0.2">
      <c r="Q929" s="30" t="s">
        <v>233</v>
      </c>
      <c r="R929" s="71" t="s">
        <v>90</v>
      </c>
      <c r="S929" s="75" t="str">
        <f t="shared" si="14"/>
        <v>KS_JEFFERSON</v>
      </c>
    </row>
    <row r="930" spans="17:19" x14ac:dyDescent="0.2">
      <c r="Q930" s="31" t="s">
        <v>844</v>
      </c>
      <c r="R930" s="72" t="s">
        <v>90</v>
      </c>
      <c r="S930" s="75" t="str">
        <f t="shared" si="14"/>
        <v>KS_JEWELL</v>
      </c>
    </row>
    <row r="931" spans="17:19" x14ac:dyDescent="0.2">
      <c r="Q931" s="30" t="s">
        <v>331</v>
      </c>
      <c r="R931" s="71" t="s">
        <v>90</v>
      </c>
      <c r="S931" s="75" t="str">
        <f t="shared" si="14"/>
        <v>KS_JOHNSON</v>
      </c>
    </row>
    <row r="932" spans="17:19" x14ac:dyDescent="0.2">
      <c r="Q932" s="31" t="s">
        <v>845</v>
      </c>
      <c r="R932" s="72" t="s">
        <v>90</v>
      </c>
      <c r="S932" s="75" t="str">
        <f t="shared" si="14"/>
        <v>KS_KEARNY</v>
      </c>
    </row>
    <row r="933" spans="17:19" x14ac:dyDescent="0.2">
      <c r="Q933" s="30" t="s">
        <v>846</v>
      </c>
      <c r="R933" s="71" t="s">
        <v>90</v>
      </c>
      <c r="S933" s="75" t="str">
        <f t="shared" si="14"/>
        <v>KS_KINGMAN</v>
      </c>
    </row>
    <row r="934" spans="17:19" x14ac:dyDescent="0.2">
      <c r="Q934" s="31" t="s">
        <v>445</v>
      </c>
      <c r="R934" s="72" t="s">
        <v>90</v>
      </c>
      <c r="S934" s="75" t="str">
        <f t="shared" si="14"/>
        <v>KS_KIOWA</v>
      </c>
    </row>
    <row r="935" spans="17:19" x14ac:dyDescent="0.2">
      <c r="Q935" s="30" t="s">
        <v>847</v>
      </c>
      <c r="R935" s="71" t="s">
        <v>90</v>
      </c>
      <c r="S935" s="75" t="str">
        <f t="shared" si="14"/>
        <v>KS_LABETTE</v>
      </c>
    </row>
    <row r="936" spans="17:19" x14ac:dyDescent="0.2">
      <c r="Q936" s="31" t="s">
        <v>848</v>
      </c>
      <c r="R936" s="72" t="s">
        <v>90</v>
      </c>
      <c r="S936" s="75" t="str">
        <f t="shared" si="14"/>
        <v>KS_LANE</v>
      </c>
    </row>
    <row r="937" spans="17:19" x14ac:dyDescent="0.2">
      <c r="Q937" s="30" t="s">
        <v>849</v>
      </c>
      <c r="R937" s="71" t="s">
        <v>90</v>
      </c>
      <c r="S937" s="75" t="str">
        <f t="shared" si="14"/>
        <v>KS_LEAVENWORTH</v>
      </c>
    </row>
    <row r="938" spans="17:19" x14ac:dyDescent="0.2">
      <c r="Q938" s="31" t="s">
        <v>333</v>
      </c>
      <c r="R938" s="72" t="s">
        <v>90</v>
      </c>
      <c r="S938" s="75" t="str">
        <f t="shared" si="14"/>
        <v>KS_LINCOLN</v>
      </c>
    </row>
    <row r="939" spans="17:19" x14ac:dyDescent="0.2">
      <c r="Q939" s="30" t="s">
        <v>795</v>
      </c>
      <c r="R939" s="71" t="s">
        <v>90</v>
      </c>
      <c r="S939" s="75" t="str">
        <f t="shared" si="14"/>
        <v>KS_LINN</v>
      </c>
    </row>
    <row r="940" spans="17:19" x14ac:dyDescent="0.2">
      <c r="Q940" s="31" t="s">
        <v>335</v>
      </c>
      <c r="R940" s="72" t="s">
        <v>90</v>
      </c>
      <c r="S940" s="75" t="str">
        <f t="shared" si="14"/>
        <v>KS_LOGAN</v>
      </c>
    </row>
    <row r="941" spans="17:19" x14ac:dyDescent="0.2">
      <c r="Q941" s="30" t="s">
        <v>798</v>
      </c>
      <c r="R941" s="71" t="s">
        <v>90</v>
      </c>
      <c r="S941" s="75" t="str">
        <f t="shared" si="14"/>
        <v>KS_LYON</v>
      </c>
    </row>
    <row r="942" spans="17:19" x14ac:dyDescent="0.2">
      <c r="Q942" s="31" t="s">
        <v>850</v>
      </c>
      <c r="R942" s="72" t="s">
        <v>90</v>
      </c>
      <c r="S942" s="75" t="str">
        <f t="shared" si="14"/>
        <v>KS_MCPHERSON</v>
      </c>
    </row>
    <row r="943" spans="17:19" x14ac:dyDescent="0.2">
      <c r="Q943" s="30" t="s">
        <v>243</v>
      </c>
      <c r="R943" s="71" t="s">
        <v>90</v>
      </c>
      <c r="S943" s="75" t="str">
        <f t="shared" si="14"/>
        <v>KS_MARION</v>
      </c>
    </row>
    <row r="944" spans="17:19" x14ac:dyDescent="0.2">
      <c r="Q944" s="31" t="s">
        <v>244</v>
      </c>
      <c r="R944" s="72" t="s">
        <v>90</v>
      </c>
      <c r="S944" s="75" t="str">
        <f t="shared" si="14"/>
        <v>KS_MARSHALL</v>
      </c>
    </row>
    <row r="945" spans="17:19" x14ac:dyDescent="0.2">
      <c r="Q945" s="30" t="s">
        <v>851</v>
      </c>
      <c r="R945" s="71" t="s">
        <v>90</v>
      </c>
      <c r="S945" s="75" t="str">
        <f t="shared" si="14"/>
        <v>KS_MEADE</v>
      </c>
    </row>
    <row r="946" spans="17:19" x14ac:dyDescent="0.2">
      <c r="Q946" s="31" t="s">
        <v>751</v>
      </c>
      <c r="R946" s="72" t="s">
        <v>90</v>
      </c>
      <c r="S946" s="75" t="str">
        <f t="shared" si="14"/>
        <v>KS_MIAMI</v>
      </c>
    </row>
    <row r="947" spans="17:19" x14ac:dyDescent="0.2">
      <c r="Q947" s="30" t="s">
        <v>601</v>
      </c>
      <c r="R947" s="71" t="s">
        <v>90</v>
      </c>
      <c r="S947" s="75" t="str">
        <f t="shared" si="14"/>
        <v>KS_MITCHELL</v>
      </c>
    </row>
    <row r="948" spans="17:19" x14ac:dyDescent="0.2">
      <c r="Q948" s="31" t="s">
        <v>247</v>
      </c>
      <c r="R948" s="72" t="s">
        <v>90</v>
      </c>
      <c r="S948" s="75" t="str">
        <f t="shared" si="14"/>
        <v>KS_MONTGOMERY</v>
      </c>
    </row>
    <row r="949" spans="17:19" x14ac:dyDescent="0.2">
      <c r="Q949" s="30" t="s">
        <v>852</v>
      </c>
      <c r="R949" s="71" t="s">
        <v>90</v>
      </c>
      <c r="S949" s="75" t="str">
        <f t="shared" si="14"/>
        <v>KS_MORRIS</v>
      </c>
    </row>
    <row r="950" spans="17:19" x14ac:dyDescent="0.2">
      <c r="Q950" s="31" t="s">
        <v>853</v>
      </c>
      <c r="R950" s="72" t="s">
        <v>90</v>
      </c>
      <c r="S950" s="75" t="str">
        <f t="shared" si="14"/>
        <v>KS_MORTON</v>
      </c>
    </row>
    <row r="951" spans="17:19" x14ac:dyDescent="0.2">
      <c r="Q951" s="30" t="s">
        <v>854</v>
      </c>
      <c r="R951" s="71" t="s">
        <v>90</v>
      </c>
      <c r="S951" s="75" t="str">
        <f t="shared" si="14"/>
        <v>KS_NEMAHA</v>
      </c>
    </row>
    <row r="952" spans="17:19" x14ac:dyDescent="0.2">
      <c r="Q952" s="31" t="s">
        <v>855</v>
      </c>
      <c r="R952" s="72" t="s">
        <v>90</v>
      </c>
      <c r="S952" s="75" t="str">
        <f t="shared" si="14"/>
        <v>KS_NEOSHO</v>
      </c>
    </row>
    <row r="953" spans="17:19" x14ac:dyDescent="0.2">
      <c r="Q953" s="30" t="s">
        <v>856</v>
      </c>
      <c r="R953" s="71" t="s">
        <v>90</v>
      </c>
      <c r="S953" s="75" t="str">
        <f t="shared" si="14"/>
        <v>KS_NESS</v>
      </c>
    </row>
    <row r="954" spans="17:19" x14ac:dyDescent="0.2">
      <c r="Q954" s="31" t="s">
        <v>857</v>
      </c>
      <c r="R954" s="72" t="s">
        <v>90</v>
      </c>
      <c r="S954" s="75" t="str">
        <f t="shared" si="14"/>
        <v>KS_NORTON</v>
      </c>
    </row>
    <row r="955" spans="17:19" x14ac:dyDescent="0.2">
      <c r="Q955" s="30" t="s">
        <v>858</v>
      </c>
      <c r="R955" s="71" t="s">
        <v>90</v>
      </c>
      <c r="S955" s="75" t="str">
        <f t="shared" si="14"/>
        <v>KS_OSAGE</v>
      </c>
    </row>
    <row r="956" spans="17:19" x14ac:dyDescent="0.2">
      <c r="Q956" s="31" t="s">
        <v>859</v>
      </c>
      <c r="R956" s="72" t="s">
        <v>90</v>
      </c>
      <c r="S956" s="75" t="str">
        <f t="shared" si="14"/>
        <v>KS_OSBORNE</v>
      </c>
    </row>
    <row r="957" spans="17:19" x14ac:dyDescent="0.2">
      <c r="Q957" s="30" t="s">
        <v>860</v>
      </c>
      <c r="R957" s="71" t="s">
        <v>90</v>
      </c>
      <c r="S957" s="75" t="str">
        <f t="shared" si="14"/>
        <v>KS_OTTAWA</v>
      </c>
    </row>
    <row r="958" spans="17:19" x14ac:dyDescent="0.2">
      <c r="Q958" s="31" t="s">
        <v>861</v>
      </c>
      <c r="R958" s="72" t="s">
        <v>90</v>
      </c>
      <c r="S958" s="75" t="str">
        <f t="shared" si="14"/>
        <v>KS_PAWNEE</v>
      </c>
    </row>
    <row r="959" spans="17:19" x14ac:dyDescent="0.2">
      <c r="Q959" s="30" t="s">
        <v>342</v>
      </c>
      <c r="R959" s="71" t="s">
        <v>90</v>
      </c>
      <c r="S959" s="75" t="str">
        <f t="shared" si="14"/>
        <v>KS_PHILLIPS</v>
      </c>
    </row>
    <row r="960" spans="17:19" x14ac:dyDescent="0.2">
      <c r="Q960" s="31" t="s">
        <v>862</v>
      </c>
      <c r="R960" s="72" t="s">
        <v>90</v>
      </c>
      <c r="S960" s="75" t="str">
        <f t="shared" si="14"/>
        <v>KS_POTTAWATOMIE</v>
      </c>
    </row>
    <row r="961" spans="17:19" x14ac:dyDescent="0.2">
      <c r="Q961" s="30" t="s">
        <v>863</v>
      </c>
      <c r="R961" s="71" t="s">
        <v>90</v>
      </c>
      <c r="S961" s="75" t="str">
        <f t="shared" si="14"/>
        <v>KS_PRATT</v>
      </c>
    </row>
    <row r="962" spans="17:19" x14ac:dyDescent="0.2">
      <c r="Q962" s="31" t="s">
        <v>864</v>
      </c>
      <c r="R962" s="72" t="s">
        <v>90</v>
      </c>
      <c r="S962" s="75" t="str">
        <f t="shared" si="14"/>
        <v>KS_RAWLINS</v>
      </c>
    </row>
    <row r="963" spans="17:19" x14ac:dyDescent="0.2">
      <c r="Q963" s="30" t="s">
        <v>865</v>
      </c>
      <c r="R963" s="71" t="s">
        <v>90</v>
      </c>
      <c r="S963" s="75" t="str">
        <f t="shared" si="14"/>
        <v>KS_RENO</v>
      </c>
    </row>
    <row r="964" spans="17:19" x14ac:dyDescent="0.2">
      <c r="Q964" s="31" t="s">
        <v>866</v>
      </c>
      <c r="R964" s="72" t="s">
        <v>90</v>
      </c>
      <c r="S964" s="75" t="str">
        <f t="shared" ref="S964:S1027" si="15">UPPER(CONCATENATE(TRIM(R964),"_",TRIM(Q964)))</f>
        <v>KS_REPUBLIC</v>
      </c>
    </row>
    <row r="965" spans="17:19" x14ac:dyDescent="0.2">
      <c r="Q965" s="30" t="s">
        <v>867</v>
      </c>
      <c r="R965" s="71" t="s">
        <v>90</v>
      </c>
      <c r="S965" s="75" t="str">
        <f t="shared" si="15"/>
        <v>KS_RICE</v>
      </c>
    </row>
    <row r="966" spans="17:19" x14ac:dyDescent="0.2">
      <c r="Q966" s="31" t="s">
        <v>868</v>
      </c>
      <c r="R966" s="72" t="s">
        <v>90</v>
      </c>
      <c r="S966" s="75" t="str">
        <f t="shared" si="15"/>
        <v>KS_RILEY</v>
      </c>
    </row>
    <row r="967" spans="17:19" x14ac:dyDescent="0.2">
      <c r="Q967" s="30" t="s">
        <v>869</v>
      </c>
      <c r="R967" s="71" t="s">
        <v>90</v>
      </c>
      <c r="S967" s="75" t="str">
        <f t="shared" si="15"/>
        <v>KS_ROOKS</v>
      </c>
    </row>
    <row r="968" spans="17:19" x14ac:dyDescent="0.2">
      <c r="Q968" s="31" t="s">
        <v>759</v>
      </c>
      <c r="R968" s="72" t="s">
        <v>90</v>
      </c>
      <c r="S968" s="75" t="str">
        <f t="shared" si="15"/>
        <v>KS_RUSH</v>
      </c>
    </row>
    <row r="969" spans="17:19" x14ac:dyDescent="0.2">
      <c r="Q969" s="30" t="s">
        <v>253</v>
      </c>
      <c r="R969" s="71" t="s">
        <v>90</v>
      </c>
      <c r="S969" s="75" t="str">
        <f t="shared" si="15"/>
        <v>KS_RUSSELL</v>
      </c>
    </row>
    <row r="970" spans="17:19" x14ac:dyDescent="0.2">
      <c r="Q970" s="31" t="s">
        <v>349</v>
      </c>
      <c r="R970" s="72" t="s">
        <v>90</v>
      </c>
      <c r="S970" s="75" t="str">
        <f t="shared" si="15"/>
        <v>KS_SALINE</v>
      </c>
    </row>
    <row r="971" spans="17:19" x14ac:dyDescent="0.2">
      <c r="Q971" s="30" t="s">
        <v>350</v>
      </c>
      <c r="R971" s="71" t="s">
        <v>90</v>
      </c>
      <c r="S971" s="75" t="str">
        <f t="shared" si="15"/>
        <v>KS_SCOTT</v>
      </c>
    </row>
    <row r="972" spans="17:19" x14ac:dyDescent="0.2">
      <c r="Q972" s="31" t="s">
        <v>467</v>
      </c>
      <c r="R972" s="72" t="s">
        <v>90</v>
      </c>
      <c r="S972" s="75" t="str">
        <f t="shared" si="15"/>
        <v>KS_SEDGWICK</v>
      </c>
    </row>
    <row r="973" spans="17:19" x14ac:dyDescent="0.2">
      <c r="Q973" s="30" t="s">
        <v>870</v>
      </c>
      <c r="R973" s="71" t="s">
        <v>90</v>
      </c>
      <c r="S973" s="75" t="str">
        <f t="shared" si="15"/>
        <v>KS_SEWARD</v>
      </c>
    </row>
    <row r="974" spans="17:19" x14ac:dyDescent="0.2">
      <c r="Q974" s="31" t="s">
        <v>871</v>
      </c>
      <c r="R974" s="72" t="s">
        <v>90</v>
      </c>
      <c r="S974" s="75" t="str">
        <f t="shared" si="15"/>
        <v>KS_SHAWNEE</v>
      </c>
    </row>
    <row r="975" spans="17:19" x14ac:dyDescent="0.2">
      <c r="Q975" s="30" t="s">
        <v>872</v>
      </c>
      <c r="R975" s="71" t="s">
        <v>90</v>
      </c>
      <c r="S975" s="75" t="str">
        <f t="shared" si="15"/>
        <v>KS_SHERIDAN</v>
      </c>
    </row>
    <row r="976" spans="17:19" x14ac:dyDescent="0.2">
      <c r="Q976" s="31" t="s">
        <v>873</v>
      </c>
      <c r="R976" s="72" t="s">
        <v>90</v>
      </c>
      <c r="S976" s="75" t="str">
        <f t="shared" si="15"/>
        <v>KS_SHERMAN</v>
      </c>
    </row>
    <row r="977" spans="17:19" x14ac:dyDescent="0.2">
      <c r="Q977" s="30" t="s">
        <v>874</v>
      </c>
      <c r="R977" s="71" t="s">
        <v>90</v>
      </c>
      <c r="S977" s="75" t="str">
        <f t="shared" si="15"/>
        <v>KS_SMITH</v>
      </c>
    </row>
    <row r="978" spans="17:19" x14ac:dyDescent="0.2">
      <c r="Q978" s="31" t="s">
        <v>875</v>
      </c>
      <c r="R978" s="72" t="s">
        <v>90</v>
      </c>
      <c r="S978" s="75" t="str">
        <f t="shared" si="15"/>
        <v>KS_STAFFORD</v>
      </c>
    </row>
    <row r="979" spans="17:19" x14ac:dyDescent="0.2">
      <c r="Q979" s="30" t="s">
        <v>876</v>
      </c>
      <c r="R979" s="71" t="s">
        <v>90</v>
      </c>
      <c r="S979" s="75" t="str">
        <f t="shared" si="15"/>
        <v>KS_STANTON</v>
      </c>
    </row>
    <row r="980" spans="17:19" x14ac:dyDescent="0.2">
      <c r="Q980" s="31" t="s">
        <v>877</v>
      </c>
      <c r="R980" s="72" t="s">
        <v>90</v>
      </c>
      <c r="S980" s="75" t="str">
        <f t="shared" si="15"/>
        <v>KS_STEVENS</v>
      </c>
    </row>
    <row r="981" spans="17:19" x14ac:dyDescent="0.2">
      <c r="Q981" s="30" t="s">
        <v>878</v>
      </c>
      <c r="R981" s="71" t="s">
        <v>90</v>
      </c>
      <c r="S981" s="75" t="str">
        <f t="shared" si="15"/>
        <v>KS_SUMNER</v>
      </c>
    </row>
    <row r="982" spans="17:19" x14ac:dyDescent="0.2">
      <c r="Q982" s="31" t="s">
        <v>623</v>
      </c>
      <c r="R982" s="72" t="s">
        <v>90</v>
      </c>
      <c r="S982" s="75" t="str">
        <f t="shared" si="15"/>
        <v>KS_THOMAS</v>
      </c>
    </row>
    <row r="983" spans="17:19" x14ac:dyDescent="0.2">
      <c r="Q983" s="30" t="s">
        <v>879</v>
      </c>
      <c r="R983" s="71" t="s">
        <v>90</v>
      </c>
      <c r="S983" s="75" t="str">
        <f t="shared" si="15"/>
        <v>KS_TREGO</v>
      </c>
    </row>
    <row r="984" spans="17:19" x14ac:dyDescent="0.2">
      <c r="Q984" s="31" t="s">
        <v>880</v>
      </c>
      <c r="R984" s="72" t="s">
        <v>90</v>
      </c>
      <c r="S984" s="75" t="str">
        <f t="shared" si="15"/>
        <v>KS_WABAUNSEE</v>
      </c>
    </row>
    <row r="985" spans="17:19" x14ac:dyDescent="0.2">
      <c r="Q985" s="30" t="s">
        <v>881</v>
      </c>
      <c r="R985" s="71" t="s">
        <v>90</v>
      </c>
      <c r="S985" s="75" t="str">
        <f t="shared" si="15"/>
        <v>KS_WALLACE</v>
      </c>
    </row>
    <row r="986" spans="17:19" x14ac:dyDescent="0.2">
      <c r="Q986" s="31" t="s">
        <v>261</v>
      </c>
      <c r="R986" s="72" t="s">
        <v>90</v>
      </c>
      <c r="S986" s="75" t="str">
        <f t="shared" si="15"/>
        <v>KS_WASHINGTON</v>
      </c>
    </row>
    <row r="987" spans="17:19" x14ac:dyDescent="0.2">
      <c r="Q987" s="30" t="s">
        <v>882</v>
      </c>
      <c r="R987" s="71" t="s">
        <v>90</v>
      </c>
      <c r="S987" s="75" t="str">
        <f t="shared" si="15"/>
        <v>KS_WICHITA</v>
      </c>
    </row>
    <row r="988" spans="17:19" x14ac:dyDescent="0.2">
      <c r="Q988" s="31" t="s">
        <v>883</v>
      </c>
      <c r="R988" s="72" t="s">
        <v>90</v>
      </c>
      <c r="S988" s="75" t="str">
        <f t="shared" si="15"/>
        <v>KS_WILSON</v>
      </c>
    </row>
    <row r="989" spans="17:19" x14ac:dyDescent="0.2">
      <c r="Q989" s="30" t="s">
        <v>884</v>
      </c>
      <c r="R989" s="71" t="s">
        <v>90</v>
      </c>
      <c r="S989" s="75" t="str">
        <f t="shared" si="15"/>
        <v>KS_WOODSON</v>
      </c>
    </row>
    <row r="990" spans="17:19" x14ac:dyDescent="0.2">
      <c r="Q990" s="31" t="s">
        <v>885</v>
      </c>
      <c r="R990" s="72" t="s">
        <v>90</v>
      </c>
      <c r="S990" s="75" t="str">
        <f t="shared" si="15"/>
        <v>KS_WYANDOTTE</v>
      </c>
    </row>
    <row r="991" spans="17:19" x14ac:dyDescent="0.2">
      <c r="Q991" s="30" t="s">
        <v>774</v>
      </c>
      <c r="R991" s="71" t="s">
        <v>89</v>
      </c>
      <c r="S991" s="75" t="str">
        <f t="shared" si="15"/>
        <v>KY_ADAIR</v>
      </c>
    </row>
    <row r="992" spans="17:19" x14ac:dyDescent="0.2">
      <c r="Q992" s="31" t="s">
        <v>733</v>
      </c>
      <c r="R992" s="72" t="s">
        <v>89</v>
      </c>
      <c r="S992" s="75" t="str">
        <f t="shared" si="15"/>
        <v>KY_ALLEN</v>
      </c>
    </row>
    <row r="993" spans="17:19" x14ac:dyDescent="0.2">
      <c r="Q993" s="30" t="s">
        <v>819</v>
      </c>
      <c r="R993" s="71" t="s">
        <v>89</v>
      </c>
      <c r="S993" s="75" t="str">
        <f t="shared" si="15"/>
        <v>KY_ANDERSON</v>
      </c>
    </row>
    <row r="994" spans="17:19" x14ac:dyDescent="0.2">
      <c r="Q994" s="31" t="s">
        <v>886</v>
      </c>
      <c r="R994" s="72" t="s">
        <v>89</v>
      </c>
      <c r="S994" s="75" t="str">
        <f t="shared" si="15"/>
        <v>KY_BALLARD</v>
      </c>
    </row>
    <row r="995" spans="17:19" x14ac:dyDescent="0.2">
      <c r="Q995" s="30" t="s">
        <v>887</v>
      </c>
      <c r="R995" s="71" t="s">
        <v>89</v>
      </c>
      <c r="S995" s="75" t="str">
        <f t="shared" si="15"/>
        <v>KY_BARREN</v>
      </c>
    </row>
    <row r="996" spans="17:19" x14ac:dyDescent="0.2">
      <c r="Q996" s="31" t="s">
        <v>888</v>
      </c>
      <c r="R996" s="72" t="s">
        <v>89</v>
      </c>
      <c r="S996" s="75" t="str">
        <f t="shared" si="15"/>
        <v>KY_BATH</v>
      </c>
    </row>
    <row r="997" spans="17:19" x14ac:dyDescent="0.2">
      <c r="Q997" s="30" t="s">
        <v>889</v>
      </c>
      <c r="R997" s="71" t="s">
        <v>89</v>
      </c>
      <c r="S997" s="75" t="str">
        <f t="shared" si="15"/>
        <v>KY_BELL</v>
      </c>
    </row>
    <row r="998" spans="17:19" x14ac:dyDescent="0.2">
      <c r="Q998" s="31" t="s">
        <v>308</v>
      </c>
      <c r="R998" s="72" t="s">
        <v>89</v>
      </c>
      <c r="S998" s="75" t="str">
        <f t="shared" si="15"/>
        <v>KY_BOONE</v>
      </c>
    </row>
    <row r="999" spans="17:19" x14ac:dyDescent="0.2">
      <c r="Q999" s="30" t="s">
        <v>823</v>
      </c>
      <c r="R999" s="71" t="s">
        <v>89</v>
      </c>
      <c r="S999" s="75" t="str">
        <f t="shared" si="15"/>
        <v>KY_BOURBON</v>
      </c>
    </row>
    <row r="1000" spans="17:19" x14ac:dyDescent="0.2">
      <c r="Q1000" s="31" t="s">
        <v>890</v>
      </c>
      <c r="R1000" s="72" t="s">
        <v>89</v>
      </c>
      <c r="S1000" s="75" t="str">
        <f t="shared" si="15"/>
        <v>KY_BOYD</v>
      </c>
    </row>
    <row r="1001" spans="17:19" x14ac:dyDescent="0.2">
      <c r="Q1001" s="30" t="s">
        <v>891</v>
      </c>
      <c r="R1001" s="71" t="s">
        <v>89</v>
      </c>
      <c r="S1001" s="75" t="str">
        <f t="shared" si="15"/>
        <v>KY_BOYLE</v>
      </c>
    </row>
    <row r="1002" spans="17:19" x14ac:dyDescent="0.2">
      <c r="Q1002" s="31" t="s">
        <v>892</v>
      </c>
      <c r="R1002" s="72" t="s">
        <v>89</v>
      </c>
      <c r="S1002" s="75" t="str">
        <f t="shared" si="15"/>
        <v>KY_BRACKEN</v>
      </c>
    </row>
    <row r="1003" spans="17:19" x14ac:dyDescent="0.2">
      <c r="Q1003" s="30" t="s">
        <v>893</v>
      </c>
      <c r="R1003" s="71" t="s">
        <v>89</v>
      </c>
      <c r="S1003" s="75" t="str">
        <f t="shared" si="15"/>
        <v>KY_BREATHITT</v>
      </c>
    </row>
    <row r="1004" spans="17:19" x14ac:dyDescent="0.2">
      <c r="Q1004" s="31" t="s">
        <v>894</v>
      </c>
      <c r="R1004" s="72" t="s">
        <v>89</v>
      </c>
      <c r="S1004" s="75" t="str">
        <f t="shared" si="15"/>
        <v>KY_BRECKINRIDGE</v>
      </c>
    </row>
    <row r="1005" spans="17:19" x14ac:dyDescent="0.2">
      <c r="Q1005" s="30" t="s">
        <v>895</v>
      </c>
      <c r="R1005" s="71" t="s">
        <v>89</v>
      </c>
      <c r="S1005" s="75" t="str">
        <f t="shared" si="15"/>
        <v>KY_BULLITT</v>
      </c>
    </row>
    <row r="1006" spans="17:19" x14ac:dyDescent="0.2">
      <c r="Q1006" s="31" t="s">
        <v>203</v>
      </c>
      <c r="R1006" s="72" t="s">
        <v>89</v>
      </c>
      <c r="S1006" s="75" t="str">
        <f t="shared" si="15"/>
        <v>KY_BUTLER</v>
      </c>
    </row>
    <row r="1007" spans="17:19" x14ac:dyDescent="0.2">
      <c r="Q1007" s="30" t="s">
        <v>896</v>
      </c>
      <c r="R1007" s="71" t="s">
        <v>89</v>
      </c>
      <c r="S1007" s="75" t="str">
        <f t="shared" si="15"/>
        <v>KY_CALDWELL</v>
      </c>
    </row>
    <row r="1008" spans="17:19" x14ac:dyDescent="0.2">
      <c r="Q1008" s="31" t="s">
        <v>897</v>
      </c>
      <c r="R1008" s="72" t="s">
        <v>89</v>
      </c>
      <c r="S1008" s="75" t="str">
        <f t="shared" si="15"/>
        <v>KY_CALLOWAY</v>
      </c>
    </row>
    <row r="1009" spans="17:19" x14ac:dyDescent="0.2">
      <c r="Q1009" s="30" t="s">
        <v>898</v>
      </c>
      <c r="R1009" s="71" t="s">
        <v>89</v>
      </c>
      <c r="S1009" s="75" t="str">
        <f t="shared" si="15"/>
        <v>KY_CAMPBELL</v>
      </c>
    </row>
    <row r="1010" spans="17:19" x14ac:dyDescent="0.2">
      <c r="Q1010" s="31" t="s">
        <v>899</v>
      </c>
      <c r="R1010" s="72" t="s">
        <v>89</v>
      </c>
      <c r="S1010" s="75" t="str">
        <f t="shared" si="15"/>
        <v>KY_CARLISLE</v>
      </c>
    </row>
    <row r="1011" spans="17:19" x14ac:dyDescent="0.2">
      <c r="Q1011" s="30" t="s">
        <v>310</v>
      </c>
      <c r="R1011" s="71" t="s">
        <v>89</v>
      </c>
      <c r="S1011" s="75" t="str">
        <f t="shared" si="15"/>
        <v>KY_CARROLL</v>
      </c>
    </row>
    <row r="1012" spans="17:19" x14ac:dyDescent="0.2">
      <c r="Q1012" s="31" t="s">
        <v>900</v>
      </c>
      <c r="R1012" s="72" t="s">
        <v>89</v>
      </c>
      <c r="S1012" s="75" t="str">
        <f t="shared" si="15"/>
        <v>KY_CARTER</v>
      </c>
    </row>
    <row r="1013" spans="17:19" x14ac:dyDescent="0.2">
      <c r="Q1013" s="30" t="s">
        <v>901</v>
      </c>
      <c r="R1013" s="71" t="s">
        <v>89</v>
      </c>
      <c r="S1013" s="75" t="str">
        <f t="shared" si="15"/>
        <v>KY_CASEY</v>
      </c>
    </row>
    <row r="1014" spans="17:19" x14ac:dyDescent="0.2">
      <c r="Q1014" s="31" t="s">
        <v>685</v>
      </c>
      <c r="R1014" s="72" t="s">
        <v>89</v>
      </c>
      <c r="S1014" s="75" t="str">
        <f t="shared" si="15"/>
        <v>KY_CHRISTIAN</v>
      </c>
    </row>
    <row r="1015" spans="17:19" x14ac:dyDescent="0.2">
      <c r="Q1015" s="30" t="s">
        <v>312</v>
      </c>
      <c r="R1015" s="71" t="s">
        <v>89</v>
      </c>
      <c r="S1015" s="75" t="str">
        <f t="shared" si="15"/>
        <v>KY_CLARK</v>
      </c>
    </row>
    <row r="1016" spans="17:19" x14ac:dyDescent="0.2">
      <c r="Q1016" s="31" t="s">
        <v>210</v>
      </c>
      <c r="R1016" s="72" t="s">
        <v>89</v>
      </c>
      <c r="S1016" s="75" t="str">
        <f t="shared" si="15"/>
        <v>KY_CLAY</v>
      </c>
    </row>
    <row r="1017" spans="17:19" x14ac:dyDescent="0.2">
      <c r="Q1017" s="30" t="s">
        <v>686</v>
      </c>
      <c r="R1017" s="71" t="s">
        <v>89</v>
      </c>
      <c r="S1017" s="75" t="str">
        <f t="shared" si="15"/>
        <v>KY_CLINTON</v>
      </c>
    </row>
    <row r="1018" spans="17:19" x14ac:dyDescent="0.2">
      <c r="Q1018" s="31" t="s">
        <v>318</v>
      </c>
      <c r="R1018" s="72" t="s">
        <v>89</v>
      </c>
      <c r="S1018" s="75" t="str">
        <f t="shared" si="15"/>
        <v>KY_CRITTENDEN</v>
      </c>
    </row>
    <row r="1019" spans="17:19" x14ac:dyDescent="0.2">
      <c r="Q1019" s="30" t="s">
        <v>688</v>
      </c>
      <c r="R1019" s="71" t="s">
        <v>89</v>
      </c>
      <c r="S1019" s="75" t="str">
        <f t="shared" si="15"/>
        <v>KY_CUMBERLAND</v>
      </c>
    </row>
    <row r="1020" spans="17:19" x14ac:dyDescent="0.2">
      <c r="Q1020" s="31" t="s">
        <v>736</v>
      </c>
      <c r="R1020" s="72" t="s">
        <v>89</v>
      </c>
      <c r="S1020" s="75" t="str">
        <f t="shared" si="15"/>
        <v>KY_DAVIESS</v>
      </c>
    </row>
    <row r="1021" spans="17:19" x14ac:dyDescent="0.2">
      <c r="Q1021" s="30" t="s">
        <v>902</v>
      </c>
      <c r="R1021" s="71" t="s">
        <v>89</v>
      </c>
      <c r="S1021" s="75" t="str">
        <f t="shared" si="15"/>
        <v>KY_EDMONSON</v>
      </c>
    </row>
    <row r="1022" spans="17:19" x14ac:dyDescent="0.2">
      <c r="Q1022" s="31" t="s">
        <v>903</v>
      </c>
      <c r="R1022" s="72" t="s">
        <v>89</v>
      </c>
      <c r="S1022" s="75" t="str">
        <f t="shared" si="15"/>
        <v>KY_ELLIOTT</v>
      </c>
    </row>
    <row r="1023" spans="17:19" x14ac:dyDescent="0.2">
      <c r="Q1023" s="30" t="s">
        <v>904</v>
      </c>
      <c r="R1023" s="71" t="s">
        <v>89</v>
      </c>
      <c r="S1023" s="75" t="str">
        <f t="shared" si="15"/>
        <v>KY_ESTILL</v>
      </c>
    </row>
    <row r="1024" spans="17:19" x14ac:dyDescent="0.2">
      <c r="Q1024" s="31" t="s">
        <v>225</v>
      </c>
      <c r="R1024" s="72" t="s">
        <v>89</v>
      </c>
      <c r="S1024" s="75" t="str">
        <f t="shared" si="15"/>
        <v>KY_FAYETTE</v>
      </c>
    </row>
    <row r="1025" spans="17:19" x14ac:dyDescent="0.2">
      <c r="Q1025" s="30" t="s">
        <v>905</v>
      </c>
      <c r="R1025" s="71" t="s">
        <v>89</v>
      </c>
      <c r="S1025" s="75" t="str">
        <f t="shared" si="15"/>
        <v>KY_FLEMING</v>
      </c>
    </row>
    <row r="1026" spans="17:19" x14ac:dyDescent="0.2">
      <c r="Q1026" s="31" t="s">
        <v>574</v>
      </c>
      <c r="R1026" s="72" t="s">
        <v>89</v>
      </c>
      <c r="S1026" s="75" t="str">
        <f t="shared" si="15"/>
        <v>KY_FLOYD</v>
      </c>
    </row>
    <row r="1027" spans="17:19" x14ac:dyDescent="0.2">
      <c r="Q1027" s="30" t="s">
        <v>226</v>
      </c>
      <c r="R1027" s="71" t="s">
        <v>89</v>
      </c>
      <c r="S1027" s="75" t="str">
        <f t="shared" si="15"/>
        <v>KY_FRANKLIN</v>
      </c>
    </row>
    <row r="1028" spans="17:19" x14ac:dyDescent="0.2">
      <c r="Q1028" s="31" t="s">
        <v>323</v>
      </c>
      <c r="R1028" s="72" t="s">
        <v>89</v>
      </c>
      <c r="S1028" s="75" t="str">
        <f t="shared" ref="S1028:S1091" si="16">UPPER(CONCATENATE(TRIM(R1028),"_",TRIM(Q1028)))</f>
        <v>KY_FULTON</v>
      </c>
    </row>
    <row r="1029" spans="17:19" x14ac:dyDescent="0.2">
      <c r="Q1029" s="30" t="s">
        <v>694</v>
      </c>
      <c r="R1029" s="71" t="s">
        <v>89</v>
      </c>
      <c r="S1029" s="75" t="str">
        <f t="shared" si="16"/>
        <v>KY_GALLATIN</v>
      </c>
    </row>
    <row r="1030" spans="17:19" x14ac:dyDescent="0.2">
      <c r="Q1030" s="31" t="s">
        <v>906</v>
      </c>
      <c r="R1030" s="72" t="s">
        <v>89</v>
      </c>
      <c r="S1030" s="75" t="str">
        <f t="shared" si="16"/>
        <v>KY_GARRARD</v>
      </c>
    </row>
    <row r="1031" spans="17:19" x14ac:dyDescent="0.2">
      <c r="Q1031" s="30" t="s">
        <v>325</v>
      </c>
      <c r="R1031" s="71" t="s">
        <v>89</v>
      </c>
      <c r="S1031" s="75" t="str">
        <f t="shared" si="16"/>
        <v>KY_GRANT</v>
      </c>
    </row>
    <row r="1032" spans="17:19" x14ac:dyDescent="0.2">
      <c r="Q1032" s="31" t="s">
        <v>907</v>
      </c>
      <c r="R1032" s="72" t="s">
        <v>89</v>
      </c>
      <c r="S1032" s="75" t="str">
        <f t="shared" si="16"/>
        <v>KY_GRAVES</v>
      </c>
    </row>
    <row r="1033" spans="17:19" x14ac:dyDescent="0.2">
      <c r="Q1033" s="30" t="s">
        <v>908</v>
      </c>
      <c r="R1033" s="71" t="s">
        <v>89</v>
      </c>
      <c r="S1033" s="75" t="str">
        <f t="shared" si="16"/>
        <v>KY_GRAYSON</v>
      </c>
    </row>
    <row r="1034" spans="17:19" x14ac:dyDescent="0.2">
      <c r="Q1034" s="31" t="s">
        <v>909</v>
      </c>
      <c r="R1034" s="72" t="s">
        <v>89</v>
      </c>
      <c r="S1034" s="75" t="str">
        <f t="shared" si="16"/>
        <v>KY_GREEN</v>
      </c>
    </row>
    <row r="1035" spans="17:19" x14ac:dyDescent="0.2">
      <c r="Q1035" s="30" t="s">
        <v>910</v>
      </c>
      <c r="R1035" s="71" t="s">
        <v>89</v>
      </c>
      <c r="S1035" s="75" t="str">
        <f t="shared" si="16"/>
        <v>KY_GREENUP</v>
      </c>
    </row>
    <row r="1036" spans="17:19" x14ac:dyDescent="0.2">
      <c r="Q1036" s="31" t="s">
        <v>584</v>
      </c>
      <c r="R1036" s="72" t="s">
        <v>89</v>
      </c>
      <c r="S1036" s="75" t="str">
        <f t="shared" si="16"/>
        <v>KY_HANCOCK</v>
      </c>
    </row>
    <row r="1037" spans="17:19" x14ac:dyDescent="0.2">
      <c r="Q1037" s="30" t="s">
        <v>696</v>
      </c>
      <c r="R1037" s="71" t="s">
        <v>89</v>
      </c>
      <c r="S1037" s="75" t="str">
        <f t="shared" si="16"/>
        <v>KY_HARDIN</v>
      </c>
    </row>
    <row r="1038" spans="17:19" x14ac:dyDescent="0.2">
      <c r="Q1038" s="31" t="s">
        <v>911</v>
      </c>
      <c r="R1038" s="72" t="s">
        <v>89</v>
      </c>
      <c r="S1038" s="75" t="str">
        <f t="shared" si="16"/>
        <v>KY_HARLAN</v>
      </c>
    </row>
    <row r="1039" spans="17:19" x14ac:dyDescent="0.2">
      <c r="Q1039" s="30" t="s">
        <v>743</v>
      </c>
      <c r="R1039" s="71" t="s">
        <v>89</v>
      </c>
      <c r="S1039" s="75" t="str">
        <f t="shared" si="16"/>
        <v>KY_HARRISON</v>
      </c>
    </row>
    <row r="1040" spans="17:19" x14ac:dyDescent="0.2">
      <c r="Q1040" s="31" t="s">
        <v>587</v>
      </c>
      <c r="R1040" s="72" t="s">
        <v>89</v>
      </c>
      <c r="S1040" s="75" t="str">
        <f t="shared" si="16"/>
        <v>KY_HART</v>
      </c>
    </row>
    <row r="1041" spans="17:19" x14ac:dyDescent="0.2">
      <c r="Q1041" s="30" t="s">
        <v>697</v>
      </c>
      <c r="R1041" s="71" t="s">
        <v>89</v>
      </c>
      <c r="S1041" s="75" t="str">
        <f t="shared" si="16"/>
        <v>KY_HENDERSON</v>
      </c>
    </row>
    <row r="1042" spans="17:19" x14ac:dyDescent="0.2">
      <c r="Q1042" s="31" t="s">
        <v>230</v>
      </c>
      <c r="R1042" s="72" t="s">
        <v>89</v>
      </c>
      <c r="S1042" s="75" t="str">
        <f t="shared" si="16"/>
        <v>KY_HENRY</v>
      </c>
    </row>
    <row r="1043" spans="17:19" x14ac:dyDescent="0.2">
      <c r="Q1043" s="30" t="s">
        <v>912</v>
      </c>
      <c r="R1043" s="71" t="s">
        <v>89</v>
      </c>
      <c r="S1043" s="75" t="str">
        <f t="shared" si="16"/>
        <v>KY_HICKMAN</v>
      </c>
    </row>
    <row r="1044" spans="17:19" x14ac:dyDescent="0.2">
      <c r="Q1044" s="31" t="s">
        <v>913</v>
      </c>
      <c r="R1044" s="72" t="s">
        <v>89</v>
      </c>
      <c r="S1044" s="75" t="str">
        <f t="shared" si="16"/>
        <v>KY_HOPKINS</v>
      </c>
    </row>
    <row r="1045" spans="17:19" x14ac:dyDescent="0.2">
      <c r="Q1045" s="30" t="s">
        <v>232</v>
      </c>
      <c r="R1045" s="71" t="s">
        <v>89</v>
      </c>
      <c r="S1045" s="75" t="str">
        <f t="shared" si="16"/>
        <v>KY_JACKSON</v>
      </c>
    </row>
    <row r="1046" spans="17:19" x14ac:dyDescent="0.2">
      <c r="Q1046" s="31" t="s">
        <v>233</v>
      </c>
      <c r="R1046" s="72" t="s">
        <v>89</v>
      </c>
      <c r="S1046" s="75" t="str">
        <f t="shared" si="16"/>
        <v>KY_JEFFERSON</v>
      </c>
    </row>
    <row r="1047" spans="17:19" x14ac:dyDescent="0.2">
      <c r="Q1047" s="30" t="s">
        <v>914</v>
      </c>
      <c r="R1047" s="71" t="s">
        <v>89</v>
      </c>
      <c r="S1047" s="75" t="str">
        <f t="shared" si="16"/>
        <v>KY_JESSAMINE</v>
      </c>
    </row>
    <row r="1048" spans="17:19" x14ac:dyDescent="0.2">
      <c r="Q1048" s="31" t="s">
        <v>331</v>
      </c>
      <c r="R1048" s="72" t="s">
        <v>89</v>
      </c>
      <c r="S1048" s="75" t="str">
        <f t="shared" si="16"/>
        <v>KY_JOHNSON</v>
      </c>
    </row>
    <row r="1049" spans="17:19" x14ac:dyDescent="0.2">
      <c r="Q1049" s="30" t="s">
        <v>915</v>
      </c>
      <c r="R1049" s="71" t="s">
        <v>89</v>
      </c>
      <c r="S1049" s="75" t="str">
        <f t="shared" si="16"/>
        <v>KY_KENTON</v>
      </c>
    </row>
    <row r="1050" spans="17:19" x14ac:dyDescent="0.2">
      <c r="Q1050" s="31" t="s">
        <v>916</v>
      </c>
      <c r="R1050" s="72" t="s">
        <v>89</v>
      </c>
      <c r="S1050" s="75" t="str">
        <f t="shared" si="16"/>
        <v>KY_KNOTT</v>
      </c>
    </row>
    <row r="1051" spans="17:19" x14ac:dyDescent="0.2">
      <c r="Q1051" s="30" t="s">
        <v>704</v>
      </c>
      <c r="R1051" s="71" t="s">
        <v>89</v>
      </c>
      <c r="S1051" s="75" t="str">
        <f t="shared" si="16"/>
        <v>KY_KNOX</v>
      </c>
    </row>
    <row r="1052" spans="17:19" x14ac:dyDescent="0.2">
      <c r="Q1052" s="31" t="s">
        <v>917</v>
      </c>
      <c r="R1052" s="72" t="s">
        <v>89</v>
      </c>
      <c r="S1052" s="75" t="str">
        <f t="shared" si="16"/>
        <v>KY_LARUE</v>
      </c>
    </row>
    <row r="1053" spans="17:19" x14ac:dyDescent="0.2">
      <c r="Q1053" s="30" t="s">
        <v>918</v>
      </c>
      <c r="R1053" s="71" t="s">
        <v>89</v>
      </c>
      <c r="S1053" s="75" t="str">
        <f t="shared" si="16"/>
        <v>KY_LAUREL</v>
      </c>
    </row>
    <row r="1054" spans="17:19" x14ac:dyDescent="0.2">
      <c r="Q1054" s="31" t="s">
        <v>236</v>
      </c>
      <c r="R1054" s="72" t="s">
        <v>89</v>
      </c>
      <c r="S1054" s="75" t="str">
        <f t="shared" si="16"/>
        <v>KY_LAWRENCE</v>
      </c>
    </row>
    <row r="1055" spans="17:19" x14ac:dyDescent="0.2">
      <c r="Q1055" s="30" t="s">
        <v>237</v>
      </c>
      <c r="R1055" s="71" t="s">
        <v>89</v>
      </c>
      <c r="S1055" s="75" t="str">
        <f t="shared" si="16"/>
        <v>KY_LEE</v>
      </c>
    </row>
    <row r="1056" spans="17:19" x14ac:dyDescent="0.2">
      <c r="Q1056" s="31" t="s">
        <v>919</v>
      </c>
      <c r="R1056" s="72" t="s">
        <v>89</v>
      </c>
      <c r="S1056" s="75" t="str">
        <f t="shared" si="16"/>
        <v>KY_LESLIE</v>
      </c>
    </row>
    <row r="1057" spans="17:19" x14ac:dyDescent="0.2">
      <c r="Q1057" s="30" t="s">
        <v>920</v>
      </c>
      <c r="R1057" s="71" t="s">
        <v>89</v>
      </c>
      <c r="S1057" s="75" t="str">
        <f t="shared" si="16"/>
        <v>KY_LETCHER</v>
      </c>
    </row>
    <row r="1058" spans="17:19" x14ac:dyDescent="0.2">
      <c r="Q1058" s="31" t="s">
        <v>668</v>
      </c>
      <c r="R1058" s="72" t="s">
        <v>89</v>
      </c>
      <c r="S1058" s="75" t="str">
        <f t="shared" si="16"/>
        <v>KY_LEWIS</v>
      </c>
    </row>
    <row r="1059" spans="17:19" x14ac:dyDescent="0.2">
      <c r="Q1059" s="30" t="s">
        <v>333</v>
      </c>
      <c r="R1059" s="71" t="s">
        <v>89</v>
      </c>
      <c r="S1059" s="75" t="str">
        <f t="shared" si="16"/>
        <v>KY_LINCOLN</v>
      </c>
    </row>
    <row r="1060" spans="17:19" x14ac:dyDescent="0.2">
      <c r="Q1060" s="31" t="s">
        <v>706</v>
      </c>
      <c r="R1060" s="72" t="s">
        <v>89</v>
      </c>
      <c r="S1060" s="75" t="str">
        <f t="shared" si="16"/>
        <v>KY_LIVINGSTON</v>
      </c>
    </row>
    <row r="1061" spans="17:19" x14ac:dyDescent="0.2">
      <c r="Q1061" s="30" t="s">
        <v>335</v>
      </c>
      <c r="R1061" s="71" t="s">
        <v>89</v>
      </c>
      <c r="S1061" s="75" t="str">
        <f t="shared" si="16"/>
        <v>KY_LOGAN</v>
      </c>
    </row>
    <row r="1062" spans="17:19" x14ac:dyDescent="0.2">
      <c r="Q1062" s="31" t="s">
        <v>798</v>
      </c>
      <c r="R1062" s="72" t="s">
        <v>89</v>
      </c>
      <c r="S1062" s="75" t="str">
        <f t="shared" si="16"/>
        <v>KY_LYON</v>
      </c>
    </row>
    <row r="1063" spans="17:19" x14ac:dyDescent="0.2">
      <c r="Q1063" s="30" t="s">
        <v>921</v>
      </c>
      <c r="R1063" s="71" t="s">
        <v>89</v>
      </c>
      <c r="S1063" s="75" t="str">
        <f t="shared" si="16"/>
        <v>KY_MCCRACKEN</v>
      </c>
    </row>
    <row r="1064" spans="17:19" x14ac:dyDescent="0.2">
      <c r="Q1064" s="31" t="s">
        <v>922</v>
      </c>
      <c r="R1064" s="72" t="s">
        <v>89</v>
      </c>
      <c r="S1064" s="75" t="str">
        <f t="shared" si="16"/>
        <v>KY_MCCREARY</v>
      </c>
    </row>
    <row r="1065" spans="17:19" x14ac:dyDescent="0.2">
      <c r="Q1065" s="30" t="s">
        <v>709</v>
      </c>
      <c r="R1065" s="71" t="s">
        <v>89</v>
      </c>
      <c r="S1065" s="75" t="str">
        <f t="shared" si="16"/>
        <v>KY_MCLEAN</v>
      </c>
    </row>
    <row r="1066" spans="17:19" x14ac:dyDescent="0.2">
      <c r="Q1066" s="31" t="s">
        <v>241</v>
      </c>
      <c r="R1066" s="72" t="s">
        <v>89</v>
      </c>
      <c r="S1066" s="75" t="str">
        <f t="shared" si="16"/>
        <v>KY_MADISON</v>
      </c>
    </row>
    <row r="1067" spans="17:19" x14ac:dyDescent="0.2">
      <c r="Q1067" s="30" t="s">
        <v>923</v>
      </c>
      <c r="R1067" s="71" t="s">
        <v>89</v>
      </c>
      <c r="S1067" s="75" t="str">
        <f t="shared" si="16"/>
        <v>KY_MAGOFFIN</v>
      </c>
    </row>
    <row r="1068" spans="17:19" x14ac:dyDescent="0.2">
      <c r="Q1068" s="31" t="s">
        <v>243</v>
      </c>
      <c r="R1068" s="72" t="s">
        <v>89</v>
      </c>
      <c r="S1068" s="75" t="str">
        <f t="shared" si="16"/>
        <v>KY_MARION</v>
      </c>
    </row>
    <row r="1069" spans="17:19" x14ac:dyDescent="0.2">
      <c r="Q1069" s="30" t="s">
        <v>244</v>
      </c>
      <c r="R1069" s="71" t="s">
        <v>89</v>
      </c>
      <c r="S1069" s="75" t="str">
        <f t="shared" si="16"/>
        <v>KY_MARSHALL</v>
      </c>
    </row>
    <row r="1070" spans="17:19" x14ac:dyDescent="0.2">
      <c r="Q1070" s="31" t="s">
        <v>514</v>
      </c>
      <c r="R1070" s="72" t="s">
        <v>89</v>
      </c>
      <c r="S1070" s="75" t="str">
        <f t="shared" si="16"/>
        <v>KY_MARTIN</v>
      </c>
    </row>
    <row r="1071" spans="17:19" x14ac:dyDescent="0.2">
      <c r="Q1071" s="30" t="s">
        <v>711</v>
      </c>
      <c r="R1071" s="71" t="s">
        <v>89</v>
      </c>
      <c r="S1071" s="75" t="str">
        <f t="shared" si="16"/>
        <v>KY_MASON</v>
      </c>
    </row>
    <row r="1072" spans="17:19" x14ac:dyDescent="0.2">
      <c r="Q1072" s="31" t="s">
        <v>851</v>
      </c>
      <c r="R1072" s="72" t="s">
        <v>89</v>
      </c>
      <c r="S1072" s="75" t="str">
        <f t="shared" si="16"/>
        <v>KY_MEADE</v>
      </c>
    </row>
    <row r="1073" spans="17:19" x14ac:dyDescent="0.2">
      <c r="Q1073" s="30" t="s">
        <v>924</v>
      </c>
      <c r="R1073" s="71" t="s">
        <v>89</v>
      </c>
      <c r="S1073" s="75" t="str">
        <f t="shared" si="16"/>
        <v>KY_MENIFEE</v>
      </c>
    </row>
    <row r="1074" spans="17:19" x14ac:dyDescent="0.2">
      <c r="Q1074" s="31" t="s">
        <v>714</v>
      </c>
      <c r="R1074" s="72" t="s">
        <v>89</v>
      </c>
      <c r="S1074" s="75" t="str">
        <f t="shared" si="16"/>
        <v>KY_MERCER</v>
      </c>
    </row>
    <row r="1075" spans="17:19" x14ac:dyDescent="0.2">
      <c r="Q1075" s="30" t="s">
        <v>925</v>
      </c>
      <c r="R1075" s="71" t="s">
        <v>89</v>
      </c>
      <c r="S1075" s="75" t="str">
        <f t="shared" si="16"/>
        <v>KY_METCALFE</v>
      </c>
    </row>
    <row r="1076" spans="17:19" x14ac:dyDescent="0.2">
      <c r="Q1076" s="31" t="s">
        <v>246</v>
      </c>
      <c r="R1076" s="72" t="s">
        <v>89</v>
      </c>
      <c r="S1076" s="75" t="str">
        <f t="shared" si="16"/>
        <v>KY_MONROE</v>
      </c>
    </row>
    <row r="1077" spans="17:19" x14ac:dyDescent="0.2">
      <c r="Q1077" s="30" t="s">
        <v>247</v>
      </c>
      <c r="R1077" s="71" t="s">
        <v>89</v>
      </c>
      <c r="S1077" s="75" t="str">
        <f t="shared" si="16"/>
        <v>KY_MONTGOMERY</v>
      </c>
    </row>
    <row r="1078" spans="17:19" x14ac:dyDescent="0.2">
      <c r="Q1078" s="31" t="s">
        <v>248</v>
      </c>
      <c r="R1078" s="72" t="s">
        <v>89</v>
      </c>
      <c r="S1078" s="75" t="str">
        <f t="shared" si="16"/>
        <v>KY_MORGAN</v>
      </c>
    </row>
    <row r="1079" spans="17:19" x14ac:dyDescent="0.2">
      <c r="Q1079" s="30" t="s">
        <v>926</v>
      </c>
      <c r="R1079" s="71" t="s">
        <v>89</v>
      </c>
      <c r="S1079" s="75" t="str">
        <f t="shared" si="16"/>
        <v>KY_MUHLENBERG</v>
      </c>
    </row>
    <row r="1080" spans="17:19" x14ac:dyDescent="0.2">
      <c r="Q1080" s="31" t="s">
        <v>927</v>
      </c>
      <c r="R1080" s="72" t="s">
        <v>89</v>
      </c>
      <c r="S1080" s="75" t="str">
        <f t="shared" si="16"/>
        <v>KY_NELSON</v>
      </c>
    </row>
    <row r="1081" spans="17:19" x14ac:dyDescent="0.2">
      <c r="Q1081" s="30" t="s">
        <v>928</v>
      </c>
      <c r="R1081" s="71" t="s">
        <v>89</v>
      </c>
      <c r="S1081" s="75" t="str">
        <f t="shared" si="16"/>
        <v>KY_NICHOLAS</v>
      </c>
    </row>
    <row r="1082" spans="17:19" x14ac:dyDescent="0.2">
      <c r="Q1082" s="31" t="s">
        <v>753</v>
      </c>
      <c r="R1082" s="72" t="s">
        <v>89</v>
      </c>
      <c r="S1082" s="75" t="str">
        <f t="shared" si="16"/>
        <v>KY_OHIO</v>
      </c>
    </row>
    <row r="1083" spans="17:19" x14ac:dyDescent="0.2">
      <c r="Q1083" s="30" t="s">
        <v>929</v>
      </c>
      <c r="R1083" s="71" t="s">
        <v>89</v>
      </c>
      <c r="S1083" s="75" t="str">
        <f t="shared" si="16"/>
        <v>KY_OLDHAM</v>
      </c>
    </row>
    <row r="1084" spans="17:19" x14ac:dyDescent="0.2">
      <c r="Q1084" s="31" t="s">
        <v>754</v>
      </c>
      <c r="R1084" s="72" t="s">
        <v>89</v>
      </c>
      <c r="S1084" s="75" t="str">
        <f t="shared" si="16"/>
        <v>KY_OWEN</v>
      </c>
    </row>
    <row r="1085" spans="17:19" x14ac:dyDescent="0.2">
      <c r="Q1085" s="30" t="s">
        <v>930</v>
      </c>
      <c r="R1085" s="71" t="s">
        <v>89</v>
      </c>
      <c r="S1085" s="75" t="str">
        <f t="shared" si="16"/>
        <v>KY_OWSLEY</v>
      </c>
    </row>
    <row r="1086" spans="17:19" x14ac:dyDescent="0.2">
      <c r="Q1086" s="31" t="s">
        <v>931</v>
      </c>
      <c r="R1086" s="72" t="s">
        <v>89</v>
      </c>
      <c r="S1086" s="75" t="str">
        <f t="shared" si="16"/>
        <v>KY_PENDLETON</v>
      </c>
    </row>
    <row r="1087" spans="17:19" x14ac:dyDescent="0.2">
      <c r="Q1087" s="30" t="s">
        <v>249</v>
      </c>
      <c r="R1087" s="71" t="s">
        <v>89</v>
      </c>
      <c r="S1087" s="75" t="str">
        <f t="shared" si="16"/>
        <v>KY_PERRY</v>
      </c>
    </row>
    <row r="1088" spans="17:19" x14ac:dyDescent="0.2">
      <c r="Q1088" s="31" t="s">
        <v>251</v>
      </c>
      <c r="R1088" s="72" t="s">
        <v>89</v>
      </c>
      <c r="S1088" s="75" t="str">
        <f t="shared" si="16"/>
        <v>KY_PIKE</v>
      </c>
    </row>
    <row r="1089" spans="17:19" x14ac:dyDescent="0.2">
      <c r="Q1089" s="30" t="s">
        <v>932</v>
      </c>
      <c r="R1089" s="71" t="s">
        <v>89</v>
      </c>
      <c r="S1089" s="75" t="str">
        <f t="shared" si="16"/>
        <v>KY_POWELL</v>
      </c>
    </row>
    <row r="1090" spans="17:19" x14ac:dyDescent="0.2">
      <c r="Q1090" s="31" t="s">
        <v>347</v>
      </c>
      <c r="R1090" s="72" t="s">
        <v>89</v>
      </c>
      <c r="S1090" s="75" t="str">
        <f t="shared" si="16"/>
        <v>KY_PULASKI</v>
      </c>
    </row>
    <row r="1091" spans="17:19" x14ac:dyDescent="0.2">
      <c r="Q1091" s="30" t="s">
        <v>933</v>
      </c>
      <c r="R1091" s="71" t="s">
        <v>89</v>
      </c>
      <c r="S1091" s="75" t="str">
        <f t="shared" si="16"/>
        <v>KY_ROBERTSON</v>
      </c>
    </row>
    <row r="1092" spans="17:19" x14ac:dyDescent="0.2">
      <c r="Q1092" s="31" t="s">
        <v>934</v>
      </c>
      <c r="R1092" s="72" t="s">
        <v>89</v>
      </c>
      <c r="S1092" s="75" t="str">
        <f t="shared" ref="S1092:S1155" si="17">UPPER(CONCATENATE(TRIM(R1092),"_",TRIM(Q1092)))</f>
        <v>KY_ROCKCASTLE</v>
      </c>
    </row>
    <row r="1093" spans="17:19" x14ac:dyDescent="0.2">
      <c r="Q1093" s="30" t="s">
        <v>935</v>
      </c>
      <c r="R1093" s="71" t="s">
        <v>89</v>
      </c>
      <c r="S1093" s="75" t="str">
        <f t="shared" si="17"/>
        <v>KY_ROWAN</v>
      </c>
    </row>
    <row r="1094" spans="17:19" x14ac:dyDescent="0.2">
      <c r="Q1094" s="31" t="s">
        <v>253</v>
      </c>
      <c r="R1094" s="72" t="s">
        <v>89</v>
      </c>
      <c r="S1094" s="75" t="str">
        <f t="shared" si="17"/>
        <v>KY_RUSSELL</v>
      </c>
    </row>
    <row r="1095" spans="17:19" x14ac:dyDescent="0.2">
      <c r="Q1095" s="30" t="s">
        <v>350</v>
      </c>
      <c r="R1095" s="71" t="s">
        <v>89</v>
      </c>
      <c r="S1095" s="75" t="str">
        <f t="shared" si="17"/>
        <v>KY_SCOTT</v>
      </c>
    </row>
    <row r="1096" spans="17:19" x14ac:dyDescent="0.2">
      <c r="Q1096" s="31" t="s">
        <v>255</v>
      </c>
      <c r="R1096" s="72" t="s">
        <v>89</v>
      </c>
      <c r="S1096" s="75" t="str">
        <f t="shared" si="17"/>
        <v>KY_SHELBY</v>
      </c>
    </row>
    <row r="1097" spans="17:19" x14ac:dyDescent="0.2">
      <c r="Q1097" s="30" t="s">
        <v>936</v>
      </c>
      <c r="R1097" s="71" t="s">
        <v>89</v>
      </c>
      <c r="S1097" s="75" t="str">
        <f t="shared" si="17"/>
        <v>KY_SIMPSON</v>
      </c>
    </row>
    <row r="1098" spans="17:19" x14ac:dyDescent="0.2">
      <c r="Q1098" s="31" t="s">
        <v>761</v>
      </c>
      <c r="R1098" s="72" t="s">
        <v>89</v>
      </c>
      <c r="S1098" s="75" t="str">
        <f t="shared" si="17"/>
        <v>KY_SPENCER</v>
      </c>
    </row>
    <row r="1099" spans="17:19" x14ac:dyDescent="0.2">
      <c r="Q1099" s="30" t="s">
        <v>529</v>
      </c>
      <c r="R1099" s="71" t="s">
        <v>89</v>
      </c>
      <c r="S1099" s="75" t="str">
        <f t="shared" si="17"/>
        <v>KY_TAYLOR</v>
      </c>
    </row>
    <row r="1100" spans="17:19" x14ac:dyDescent="0.2">
      <c r="Q1100" s="31" t="s">
        <v>937</v>
      </c>
      <c r="R1100" s="72" t="s">
        <v>89</v>
      </c>
      <c r="S1100" s="75" t="str">
        <f t="shared" si="17"/>
        <v>KY_TODD</v>
      </c>
    </row>
    <row r="1101" spans="17:19" x14ac:dyDescent="0.2">
      <c r="Q1101" s="30" t="s">
        <v>938</v>
      </c>
      <c r="R1101" s="71" t="s">
        <v>89</v>
      </c>
      <c r="S1101" s="75" t="str">
        <f t="shared" si="17"/>
        <v>KY_TRIGG</v>
      </c>
    </row>
    <row r="1102" spans="17:19" x14ac:dyDescent="0.2">
      <c r="Q1102" s="31" t="s">
        <v>939</v>
      </c>
      <c r="R1102" s="72" t="s">
        <v>89</v>
      </c>
      <c r="S1102" s="75" t="str">
        <f t="shared" si="17"/>
        <v>KY_TRIMBLE</v>
      </c>
    </row>
    <row r="1103" spans="17:19" x14ac:dyDescent="0.2">
      <c r="Q1103" s="30" t="s">
        <v>356</v>
      </c>
      <c r="R1103" s="71" t="s">
        <v>89</v>
      </c>
      <c r="S1103" s="75" t="str">
        <f t="shared" si="17"/>
        <v>KY_UNION</v>
      </c>
    </row>
    <row r="1104" spans="17:19" x14ac:dyDescent="0.2">
      <c r="Q1104" s="31" t="s">
        <v>633</v>
      </c>
      <c r="R1104" s="72" t="s">
        <v>89</v>
      </c>
      <c r="S1104" s="75" t="str">
        <f t="shared" si="17"/>
        <v>KY_WARREN</v>
      </c>
    </row>
    <row r="1105" spans="17:19" x14ac:dyDescent="0.2">
      <c r="Q1105" s="30" t="s">
        <v>261</v>
      </c>
      <c r="R1105" s="71" t="s">
        <v>89</v>
      </c>
      <c r="S1105" s="75" t="str">
        <f t="shared" si="17"/>
        <v>KY_WASHINGTON</v>
      </c>
    </row>
    <row r="1106" spans="17:19" x14ac:dyDescent="0.2">
      <c r="Q1106" s="31" t="s">
        <v>634</v>
      </c>
      <c r="R1106" s="72" t="s">
        <v>89</v>
      </c>
      <c r="S1106" s="75" t="str">
        <f t="shared" si="17"/>
        <v>KY_WAYNE</v>
      </c>
    </row>
    <row r="1107" spans="17:19" x14ac:dyDescent="0.2">
      <c r="Q1107" s="30" t="s">
        <v>635</v>
      </c>
      <c r="R1107" s="71" t="s">
        <v>89</v>
      </c>
      <c r="S1107" s="75" t="str">
        <f t="shared" si="17"/>
        <v>KY_WEBSTER</v>
      </c>
    </row>
    <row r="1108" spans="17:19" x14ac:dyDescent="0.2">
      <c r="Q1108" s="31" t="s">
        <v>773</v>
      </c>
      <c r="R1108" s="72" t="s">
        <v>89</v>
      </c>
      <c r="S1108" s="75" t="str">
        <f t="shared" si="17"/>
        <v>KY_WHITLEY</v>
      </c>
    </row>
    <row r="1109" spans="17:19" x14ac:dyDescent="0.2">
      <c r="Q1109" s="30" t="s">
        <v>940</v>
      </c>
      <c r="R1109" s="71" t="s">
        <v>89</v>
      </c>
      <c r="S1109" s="75" t="str">
        <f t="shared" si="17"/>
        <v>KY_WOLFE</v>
      </c>
    </row>
    <row r="1110" spans="17:19" x14ac:dyDescent="0.2">
      <c r="Q1110" s="31" t="s">
        <v>732</v>
      </c>
      <c r="R1110" s="72" t="s">
        <v>89</v>
      </c>
      <c r="S1110" s="75" t="str">
        <f t="shared" si="17"/>
        <v>KY_WOODFORD</v>
      </c>
    </row>
    <row r="1111" spans="17:19" x14ac:dyDescent="0.2">
      <c r="Q1111" s="30" t="s">
        <v>941</v>
      </c>
      <c r="R1111" s="71" t="s">
        <v>88</v>
      </c>
      <c r="S1111" s="75" t="str">
        <f t="shared" si="17"/>
        <v>LA_ACADIA PARISH</v>
      </c>
    </row>
    <row r="1112" spans="17:19" x14ac:dyDescent="0.2">
      <c r="Q1112" s="31" t="s">
        <v>942</v>
      </c>
      <c r="R1112" s="72" t="s">
        <v>88</v>
      </c>
      <c r="S1112" s="75" t="str">
        <f t="shared" si="17"/>
        <v>LA_ALLEN PARISH</v>
      </c>
    </row>
    <row r="1113" spans="17:19" x14ac:dyDescent="0.2">
      <c r="Q1113" s="30" t="s">
        <v>943</v>
      </c>
      <c r="R1113" s="71" t="s">
        <v>88</v>
      </c>
      <c r="S1113" s="75" t="str">
        <f t="shared" si="17"/>
        <v>LA_ASCENSION PARISH</v>
      </c>
    </row>
    <row r="1114" spans="17:19" x14ac:dyDescent="0.2">
      <c r="Q1114" s="31" t="s">
        <v>944</v>
      </c>
      <c r="R1114" s="72" t="s">
        <v>88</v>
      </c>
      <c r="S1114" s="75" t="str">
        <f t="shared" si="17"/>
        <v>LA_ASSUMPTION PARISH</v>
      </c>
    </row>
    <row r="1115" spans="17:19" x14ac:dyDescent="0.2">
      <c r="Q1115" s="30" t="s">
        <v>945</v>
      </c>
      <c r="R1115" s="71" t="s">
        <v>88</v>
      </c>
      <c r="S1115" s="75" t="str">
        <f t="shared" si="17"/>
        <v>LA_AVOYELLES PARISH</v>
      </c>
    </row>
    <row r="1116" spans="17:19" x14ac:dyDescent="0.2">
      <c r="Q1116" s="31" t="s">
        <v>946</v>
      </c>
      <c r="R1116" s="72" t="s">
        <v>88</v>
      </c>
      <c r="S1116" s="75" t="str">
        <f t="shared" si="17"/>
        <v>LA_BEAUREGARD PARISH</v>
      </c>
    </row>
    <row r="1117" spans="17:19" x14ac:dyDescent="0.2">
      <c r="Q1117" s="30" t="s">
        <v>947</v>
      </c>
      <c r="R1117" s="71" t="s">
        <v>88</v>
      </c>
      <c r="S1117" s="75" t="str">
        <f t="shared" si="17"/>
        <v>LA_BIENVILLE PARISH</v>
      </c>
    </row>
    <row r="1118" spans="17:19" x14ac:dyDescent="0.2">
      <c r="Q1118" s="31" t="s">
        <v>948</v>
      </c>
      <c r="R1118" s="72" t="s">
        <v>88</v>
      </c>
      <c r="S1118" s="75" t="str">
        <f t="shared" si="17"/>
        <v>LA_BOSSIER PARISH</v>
      </c>
    </row>
    <row r="1119" spans="17:19" x14ac:dyDescent="0.2">
      <c r="Q1119" s="30" t="s">
        <v>949</v>
      </c>
      <c r="R1119" s="71" t="s">
        <v>88</v>
      </c>
      <c r="S1119" s="75" t="str">
        <f t="shared" si="17"/>
        <v>LA_CADDO PARISH</v>
      </c>
    </row>
    <row r="1120" spans="17:19" x14ac:dyDescent="0.2">
      <c r="Q1120" s="31" t="s">
        <v>950</v>
      </c>
      <c r="R1120" s="72" t="s">
        <v>88</v>
      </c>
      <c r="S1120" s="75" t="str">
        <f t="shared" si="17"/>
        <v>LA_CALCASIEU PARISH</v>
      </c>
    </row>
    <row r="1121" spans="17:19" x14ac:dyDescent="0.2">
      <c r="Q1121" s="30" t="s">
        <v>951</v>
      </c>
      <c r="R1121" s="71" t="s">
        <v>88</v>
      </c>
      <c r="S1121" s="75" t="str">
        <f t="shared" si="17"/>
        <v>LA_CALDWELL PARISH</v>
      </c>
    </row>
    <row r="1122" spans="17:19" x14ac:dyDescent="0.2">
      <c r="Q1122" s="31" t="s">
        <v>952</v>
      </c>
      <c r="R1122" s="72" t="s">
        <v>88</v>
      </c>
      <c r="S1122" s="75" t="str">
        <f t="shared" si="17"/>
        <v>LA_CAMERON PARISH</v>
      </c>
    </row>
    <row r="1123" spans="17:19" x14ac:dyDescent="0.2">
      <c r="Q1123" s="30" t="s">
        <v>953</v>
      </c>
      <c r="R1123" s="71" t="s">
        <v>88</v>
      </c>
      <c r="S1123" s="75" t="str">
        <f t="shared" si="17"/>
        <v>LA_CATAHOULA PARISH</v>
      </c>
    </row>
    <row r="1124" spans="17:19" x14ac:dyDescent="0.2">
      <c r="Q1124" s="31" t="s">
        <v>954</v>
      </c>
      <c r="R1124" s="72" t="s">
        <v>88</v>
      </c>
      <c r="S1124" s="75" t="str">
        <f t="shared" si="17"/>
        <v>LA_CLAIBORNE PARISH</v>
      </c>
    </row>
    <row r="1125" spans="17:19" x14ac:dyDescent="0.2">
      <c r="Q1125" s="30" t="s">
        <v>955</v>
      </c>
      <c r="R1125" s="71" t="s">
        <v>88</v>
      </c>
      <c r="S1125" s="75" t="str">
        <f t="shared" si="17"/>
        <v>LA_CONCORDIA PARISH</v>
      </c>
    </row>
    <row r="1126" spans="17:19" x14ac:dyDescent="0.2">
      <c r="Q1126" s="31" t="s">
        <v>956</v>
      </c>
      <c r="R1126" s="72" t="s">
        <v>88</v>
      </c>
      <c r="S1126" s="75" t="str">
        <f t="shared" si="17"/>
        <v>LA_DE SOTO PARISH</v>
      </c>
    </row>
    <row r="1127" spans="17:19" x14ac:dyDescent="0.2">
      <c r="Q1127" s="30" t="s">
        <v>957</v>
      </c>
      <c r="R1127" s="71" t="s">
        <v>88</v>
      </c>
      <c r="S1127" s="75" t="str">
        <f t="shared" si="17"/>
        <v>LA_EAST BATON ROUGE PARISH</v>
      </c>
    </row>
    <row r="1128" spans="17:19" x14ac:dyDescent="0.2">
      <c r="Q1128" s="31" t="s">
        <v>958</v>
      </c>
      <c r="R1128" s="72" t="s">
        <v>88</v>
      </c>
      <c r="S1128" s="75" t="str">
        <f t="shared" si="17"/>
        <v>LA_EAST CARROLL PARISH</v>
      </c>
    </row>
    <row r="1129" spans="17:19" x14ac:dyDescent="0.2">
      <c r="Q1129" s="30" t="s">
        <v>959</v>
      </c>
      <c r="R1129" s="71" t="s">
        <v>88</v>
      </c>
      <c r="S1129" s="75" t="str">
        <f t="shared" si="17"/>
        <v>LA_EAST FELICIANA PARISH</v>
      </c>
    </row>
    <row r="1130" spans="17:19" x14ac:dyDescent="0.2">
      <c r="Q1130" s="31" t="s">
        <v>960</v>
      </c>
      <c r="R1130" s="72" t="s">
        <v>88</v>
      </c>
      <c r="S1130" s="75" t="str">
        <f t="shared" si="17"/>
        <v>LA_EVANGELINE PARISH</v>
      </c>
    </row>
    <row r="1131" spans="17:19" x14ac:dyDescent="0.2">
      <c r="Q1131" s="30" t="s">
        <v>961</v>
      </c>
      <c r="R1131" s="71" t="s">
        <v>88</v>
      </c>
      <c r="S1131" s="75" t="str">
        <f t="shared" si="17"/>
        <v>LA_FRANKLIN PARISH</v>
      </c>
    </row>
    <row r="1132" spans="17:19" x14ac:dyDescent="0.2">
      <c r="Q1132" s="31" t="s">
        <v>962</v>
      </c>
      <c r="R1132" s="72" t="s">
        <v>88</v>
      </c>
      <c r="S1132" s="75" t="str">
        <f t="shared" si="17"/>
        <v>LA_GRANT PARISH</v>
      </c>
    </row>
    <row r="1133" spans="17:19" x14ac:dyDescent="0.2">
      <c r="Q1133" s="30" t="s">
        <v>963</v>
      </c>
      <c r="R1133" s="71" t="s">
        <v>88</v>
      </c>
      <c r="S1133" s="75" t="str">
        <f t="shared" si="17"/>
        <v>LA_IBERIA PARISH</v>
      </c>
    </row>
    <row r="1134" spans="17:19" x14ac:dyDescent="0.2">
      <c r="Q1134" s="31" t="s">
        <v>964</v>
      </c>
      <c r="R1134" s="72" t="s">
        <v>88</v>
      </c>
      <c r="S1134" s="75" t="str">
        <f t="shared" si="17"/>
        <v>LA_IBERVILLE PARISH</v>
      </c>
    </row>
    <row r="1135" spans="17:19" x14ac:dyDescent="0.2">
      <c r="Q1135" s="30" t="s">
        <v>965</v>
      </c>
      <c r="R1135" s="71" t="s">
        <v>88</v>
      </c>
      <c r="S1135" s="75" t="str">
        <f t="shared" si="17"/>
        <v>LA_JACKSON PARISH</v>
      </c>
    </row>
    <row r="1136" spans="17:19" x14ac:dyDescent="0.2">
      <c r="Q1136" s="31" t="s">
        <v>966</v>
      </c>
      <c r="R1136" s="72" t="s">
        <v>88</v>
      </c>
      <c r="S1136" s="75" t="str">
        <f t="shared" si="17"/>
        <v>LA_JEFFERSON PARISH</v>
      </c>
    </row>
    <row r="1137" spans="17:19" x14ac:dyDescent="0.2">
      <c r="Q1137" s="30" t="s">
        <v>967</v>
      </c>
      <c r="R1137" s="71" t="s">
        <v>88</v>
      </c>
      <c r="S1137" s="75" t="str">
        <f t="shared" si="17"/>
        <v>LA_JEFFERSON DAVIS PARISH</v>
      </c>
    </row>
    <row r="1138" spans="17:19" x14ac:dyDescent="0.2">
      <c r="Q1138" s="31" t="s">
        <v>968</v>
      </c>
      <c r="R1138" s="72" t="s">
        <v>88</v>
      </c>
      <c r="S1138" s="75" t="str">
        <f t="shared" si="17"/>
        <v>LA_LAFAYETTE PARISH</v>
      </c>
    </row>
    <row r="1139" spans="17:19" x14ac:dyDescent="0.2">
      <c r="Q1139" s="30" t="s">
        <v>969</v>
      </c>
      <c r="R1139" s="71" t="s">
        <v>88</v>
      </c>
      <c r="S1139" s="75" t="str">
        <f t="shared" si="17"/>
        <v>LA_LAFOURCHE PARISH</v>
      </c>
    </row>
    <row r="1140" spans="17:19" x14ac:dyDescent="0.2">
      <c r="Q1140" s="31" t="s">
        <v>970</v>
      </c>
      <c r="R1140" s="72" t="s">
        <v>88</v>
      </c>
      <c r="S1140" s="75" t="str">
        <f t="shared" si="17"/>
        <v>LA_LA SALLE PARISH</v>
      </c>
    </row>
    <row r="1141" spans="17:19" x14ac:dyDescent="0.2">
      <c r="Q1141" s="30" t="s">
        <v>971</v>
      </c>
      <c r="R1141" s="71" t="s">
        <v>88</v>
      </c>
      <c r="S1141" s="75" t="str">
        <f t="shared" si="17"/>
        <v>LA_LINCOLN PARISH</v>
      </c>
    </row>
    <row r="1142" spans="17:19" x14ac:dyDescent="0.2">
      <c r="Q1142" s="31" t="s">
        <v>972</v>
      </c>
      <c r="R1142" s="72" t="s">
        <v>88</v>
      </c>
      <c r="S1142" s="75" t="str">
        <f t="shared" si="17"/>
        <v>LA_LIVINGSTON PARISH</v>
      </c>
    </row>
    <row r="1143" spans="17:19" x14ac:dyDescent="0.2">
      <c r="Q1143" s="30" t="s">
        <v>973</v>
      </c>
      <c r="R1143" s="71" t="s">
        <v>88</v>
      </c>
      <c r="S1143" s="75" t="str">
        <f t="shared" si="17"/>
        <v>LA_MADISON PARISH</v>
      </c>
    </row>
    <row r="1144" spans="17:19" x14ac:dyDescent="0.2">
      <c r="Q1144" s="31" t="s">
        <v>974</v>
      </c>
      <c r="R1144" s="72" t="s">
        <v>88</v>
      </c>
      <c r="S1144" s="75" t="str">
        <f t="shared" si="17"/>
        <v>LA_MOREHOUSE PARISH</v>
      </c>
    </row>
    <row r="1145" spans="17:19" x14ac:dyDescent="0.2">
      <c r="Q1145" s="30" t="s">
        <v>975</v>
      </c>
      <c r="R1145" s="71" t="s">
        <v>88</v>
      </c>
      <c r="S1145" s="75" t="str">
        <f t="shared" si="17"/>
        <v>LA_NATCHITOCHES PARISH</v>
      </c>
    </row>
    <row r="1146" spans="17:19" x14ac:dyDescent="0.2">
      <c r="Q1146" s="31" t="s">
        <v>976</v>
      </c>
      <c r="R1146" s="72" t="s">
        <v>88</v>
      </c>
      <c r="S1146" s="75" t="str">
        <f t="shared" si="17"/>
        <v>LA_ORLEANS PARISH</v>
      </c>
    </row>
    <row r="1147" spans="17:19" x14ac:dyDescent="0.2">
      <c r="Q1147" s="30" t="s">
        <v>977</v>
      </c>
      <c r="R1147" s="71" t="s">
        <v>88</v>
      </c>
      <c r="S1147" s="75" t="str">
        <f t="shared" si="17"/>
        <v>LA_OUACHITA PARISH</v>
      </c>
    </row>
    <row r="1148" spans="17:19" x14ac:dyDescent="0.2">
      <c r="Q1148" s="31" t="s">
        <v>978</v>
      </c>
      <c r="R1148" s="72" t="s">
        <v>88</v>
      </c>
      <c r="S1148" s="75" t="str">
        <f t="shared" si="17"/>
        <v>LA_PLAQUEMINES PARISH</v>
      </c>
    </row>
    <row r="1149" spans="17:19" x14ac:dyDescent="0.2">
      <c r="Q1149" s="30" t="s">
        <v>979</v>
      </c>
      <c r="R1149" s="71" t="s">
        <v>88</v>
      </c>
      <c r="S1149" s="75" t="str">
        <f t="shared" si="17"/>
        <v>LA_POINTE COUPEE PARISH</v>
      </c>
    </row>
    <row r="1150" spans="17:19" x14ac:dyDescent="0.2">
      <c r="Q1150" s="31" t="s">
        <v>980</v>
      </c>
      <c r="R1150" s="72" t="s">
        <v>88</v>
      </c>
      <c r="S1150" s="75" t="str">
        <f t="shared" si="17"/>
        <v>LA_RAPIDES PARISH</v>
      </c>
    </row>
    <row r="1151" spans="17:19" x14ac:dyDescent="0.2">
      <c r="Q1151" s="30" t="s">
        <v>981</v>
      </c>
      <c r="R1151" s="71" t="s">
        <v>88</v>
      </c>
      <c r="S1151" s="75" t="str">
        <f t="shared" si="17"/>
        <v>LA_RED RIVER PARISH</v>
      </c>
    </row>
    <row r="1152" spans="17:19" x14ac:dyDescent="0.2">
      <c r="Q1152" s="31" t="s">
        <v>982</v>
      </c>
      <c r="R1152" s="72" t="s">
        <v>88</v>
      </c>
      <c r="S1152" s="75" t="str">
        <f t="shared" si="17"/>
        <v>LA_RICHLAND PARISH</v>
      </c>
    </row>
    <row r="1153" spans="17:19" x14ac:dyDescent="0.2">
      <c r="Q1153" s="30" t="s">
        <v>983</v>
      </c>
      <c r="R1153" s="71" t="s">
        <v>88</v>
      </c>
      <c r="S1153" s="75" t="str">
        <f t="shared" si="17"/>
        <v>LA_SABINE PARISH</v>
      </c>
    </row>
    <row r="1154" spans="17:19" x14ac:dyDescent="0.2">
      <c r="Q1154" s="31" t="s">
        <v>984</v>
      </c>
      <c r="R1154" s="72" t="s">
        <v>88</v>
      </c>
      <c r="S1154" s="75" t="str">
        <f t="shared" si="17"/>
        <v>LA_ST. BERNARD PARISH</v>
      </c>
    </row>
    <row r="1155" spans="17:19" x14ac:dyDescent="0.2">
      <c r="Q1155" s="30" t="s">
        <v>985</v>
      </c>
      <c r="R1155" s="71" t="s">
        <v>88</v>
      </c>
      <c r="S1155" s="75" t="str">
        <f t="shared" si="17"/>
        <v>LA_ST. CHARLES PARISH</v>
      </c>
    </row>
    <row r="1156" spans="17:19" x14ac:dyDescent="0.2">
      <c r="Q1156" s="31" t="s">
        <v>986</v>
      </c>
      <c r="R1156" s="72" t="s">
        <v>88</v>
      </c>
      <c r="S1156" s="75" t="str">
        <f t="shared" ref="S1156:S1219" si="18">UPPER(CONCATENATE(TRIM(R1156),"_",TRIM(Q1156)))</f>
        <v>LA_ST. HELENA PARISH</v>
      </c>
    </row>
    <row r="1157" spans="17:19" x14ac:dyDescent="0.2">
      <c r="Q1157" s="30" t="s">
        <v>987</v>
      </c>
      <c r="R1157" s="71" t="s">
        <v>88</v>
      </c>
      <c r="S1157" s="75" t="str">
        <f t="shared" si="18"/>
        <v>LA_ST. JAMES PARISH</v>
      </c>
    </row>
    <row r="1158" spans="17:19" x14ac:dyDescent="0.2">
      <c r="Q1158" s="31" t="s">
        <v>988</v>
      </c>
      <c r="R1158" s="72" t="s">
        <v>88</v>
      </c>
      <c r="S1158" s="75" t="str">
        <f t="shared" si="18"/>
        <v>LA_ST. JOHN THE BAPTIST PARISH</v>
      </c>
    </row>
    <row r="1159" spans="17:19" x14ac:dyDescent="0.2">
      <c r="Q1159" s="30" t="s">
        <v>989</v>
      </c>
      <c r="R1159" s="71" t="s">
        <v>88</v>
      </c>
      <c r="S1159" s="75" t="str">
        <f t="shared" si="18"/>
        <v>LA_ST. LANDRY PARISH</v>
      </c>
    </row>
    <row r="1160" spans="17:19" x14ac:dyDescent="0.2">
      <c r="Q1160" s="31" t="s">
        <v>990</v>
      </c>
      <c r="R1160" s="72" t="s">
        <v>88</v>
      </c>
      <c r="S1160" s="75" t="str">
        <f t="shared" si="18"/>
        <v>LA_ST. MARTIN PARISH</v>
      </c>
    </row>
    <row r="1161" spans="17:19" x14ac:dyDescent="0.2">
      <c r="Q1161" s="30" t="s">
        <v>991</v>
      </c>
      <c r="R1161" s="71" t="s">
        <v>88</v>
      </c>
      <c r="S1161" s="75" t="str">
        <f t="shared" si="18"/>
        <v>LA_ST. MARY PARISH</v>
      </c>
    </row>
    <row r="1162" spans="17:19" x14ac:dyDescent="0.2">
      <c r="Q1162" s="31" t="s">
        <v>992</v>
      </c>
      <c r="R1162" s="72" t="s">
        <v>88</v>
      </c>
      <c r="S1162" s="75" t="str">
        <f t="shared" si="18"/>
        <v>LA_ST. TAMMANY PARISH</v>
      </c>
    </row>
    <row r="1163" spans="17:19" x14ac:dyDescent="0.2">
      <c r="Q1163" s="30" t="s">
        <v>993</v>
      </c>
      <c r="R1163" s="71" t="s">
        <v>88</v>
      </c>
      <c r="S1163" s="75" t="str">
        <f t="shared" si="18"/>
        <v>LA_TANGIPAHOA PARISH</v>
      </c>
    </row>
    <row r="1164" spans="17:19" x14ac:dyDescent="0.2">
      <c r="Q1164" s="31" t="s">
        <v>994</v>
      </c>
      <c r="R1164" s="72" t="s">
        <v>88</v>
      </c>
      <c r="S1164" s="75" t="str">
        <f t="shared" si="18"/>
        <v>LA_TENSAS PARISH</v>
      </c>
    </row>
    <row r="1165" spans="17:19" x14ac:dyDescent="0.2">
      <c r="Q1165" s="30" t="s">
        <v>995</v>
      </c>
      <c r="R1165" s="71" t="s">
        <v>88</v>
      </c>
      <c r="S1165" s="75" t="str">
        <f t="shared" si="18"/>
        <v>LA_TERREBONNE PARISH</v>
      </c>
    </row>
    <row r="1166" spans="17:19" x14ac:dyDescent="0.2">
      <c r="Q1166" s="31" t="s">
        <v>996</v>
      </c>
      <c r="R1166" s="72" t="s">
        <v>88</v>
      </c>
      <c r="S1166" s="75" t="str">
        <f t="shared" si="18"/>
        <v>LA_UNION PARISH</v>
      </c>
    </row>
    <row r="1167" spans="17:19" x14ac:dyDescent="0.2">
      <c r="Q1167" s="30" t="s">
        <v>997</v>
      </c>
      <c r="R1167" s="71" t="s">
        <v>88</v>
      </c>
      <c r="S1167" s="75" t="str">
        <f t="shared" si="18"/>
        <v>LA_VERMILION PARISH</v>
      </c>
    </row>
    <row r="1168" spans="17:19" x14ac:dyDescent="0.2">
      <c r="Q1168" s="31" t="s">
        <v>998</v>
      </c>
      <c r="R1168" s="72" t="s">
        <v>88</v>
      </c>
      <c r="S1168" s="75" t="str">
        <f t="shared" si="18"/>
        <v>LA_VERNON PARISH</v>
      </c>
    </row>
    <row r="1169" spans="17:19" x14ac:dyDescent="0.2">
      <c r="Q1169" s="30" t="s">
        <v>999</v>
      </c>
      <c r="R1169" s="71" t="s">
        <v>88</v>
      </c>
      <c r="S1169" s="75" t="str">
        <f t="shared" si="18"/>
        <v>LA_WASHINGTON PARISH</v>
      </c>
    </row>
    <row r="1170" spans="17:19" x14ac:dyDescent="0.2">
      <c r="Q1170" s="31" t="s">
        <v>1000</v>
      </c>
      <c r="R1170" s="72" t="s">
        <v>88</v>
      </c>
      <c r="S1170" s="75" t="str">
        <f t="shared" si="18"/>
        <v>LA_WEBSTER PARISH</v>
      </c>
    </row>
    <row r="1171" spans="17:19" x14ac:dyDescent="0.2">
      <c r="Q1171" s="30" t="s">
        <v>1001</v>
      </c>
      <c r="R1171" s="71" t="s">
        <v>88</v>
      </c>
      <c r="S1171" s="75" t="str">
        <f t="shared" si="18"/>
        <v>LA_WEST BATON ROUGE PARISH</v>
      </c>
    </row>
    <row r="1172" spans="17:19" x14ac:dyDescent="0.2">
      <c r="Q1172" s="31" t="s">
        <v>1002</v>
      </c>
      <c r="R1172" s="72" t="s">
        <v>88</v>
      </c>
      <c r="S1172" s="75" t="str">
        <f t="shared" si="18"/>
        <v>LA_WEST CARROLL PARISH</v>
      </c>
    </row>
    <row r="1173" spans="17:19" x14ac:dyDescent="0.2">
      <c r="Q1173" s="30" t="s">
        <v>1003</v>
      </c>
      <c r="R1173" s="71" t="s">
        <v>88</v>
      </c>
      <c r="S1173" s="75" t="str">
        <f t="shared" si="18"/>
        <v>LA_WEST FELICIANA PARISH</v>
      </c>
    </row>
    <row r="1174" spans="17:19" x14ac:dyDescent="0.2">
      <c r="Q1174" s="31" t="s">
        <v>1004</v>
      </c>
      <c r="R1174" s="72" t="s">
        <v>88</v>
      </c>
      <c r="S1174" s="75" t="str">
        <f t="shared" si="18"/>
        <v>LA_WINN PARISH</v>
      </c>
    </row>
    <row r="1175" spans="17:19" x14ac:dyDescent="0.2">
      <c r="Q1175" s="30" t="s">
        <v>1005</v>
      </c>
      <c r="R1175" s="71" t="s">
        <v>87</v>
      </c>
      <c r="S1175" s="75" t="str">
        <f t="shared" si="18"/>
        <v>ME_ANDROSCOGGIN</v>
      </c>
    </row>
    <row r="1176" spans="17:19" x14ac:dyDescent="0.2">
      <c r="Q1176" s="31" t="s">
        <v>1006</v>
      </c>
      <c r="R1176" s="72" t="s">
        <v>87</v>
      </c>
      <c r="S1176" s="75" t="str">
        <f t="shared" si="18"/>
        <v>ME_AROOSTOOK</v>
      </c>
    </row>
    <row r="1177" spans="17:19" x14ac:dyDescent="0.2">
      <c r="Q1177" s="30" t="s">
        <v>688</v>
      </c>
      <c r="R1177" s="71" t="s">
        <v>87</v>
      </c>
      <c r="S1177" s="75" t="str">
        <f t="shared" si="18"/>
        <v>ME_CUMBERLAND</v>
      </c>
    </row>
    <row r="1178" spans="17:19" x14ac:dyDescent="0.2">
      <c r="Q1178" s="31" t="s">
        <v>226</v>
      </c>
      <c r="R1178" s="72" t="s">
        <v>87</v>
      </c>
      <c r="S1178" s="75" t="str">
        <f t="shared" si="18"/>
        <v>ME_FRANKLIN</v>
      </c>
    </row>
    <row r="1179" spans="17:19" x14ac:dyDescent="0.2">
      <c r="Q1179" s="30" t="s">
        <v>584</v>
      </c>
      <c r="R1179" s="71" t="s">
        <v>87</v>
      </c>
      <c r="S1179" s="75" t="str">
        <f t="shared" si="18"/>
        <v>ME_HANCOCK</v>
      </c>
    </row>
    <row r="1180" spans="17:19" x14ac:dyDescent="0.2">
      <c r="Q1180" s="31" t="s">
        <v>1007</v>
      </c>
      <c r="R1180" s="72" t="s">
        <v>87</v>
      </c>
      <c r="S1180" s="75" t="str">
        <f t="shared" si="18"/>
        <v>ME_KENNEBEC</v>
      </c>
    </row>
    <row r="1181" spans="17:19" x14ac:dyDescent="0.2">
      <c r="Q1181" s="30" t="s">
        <v>704</v>
      </c>
      <c r="R1181" s="71" t="s">
        <v>87</v>
      </c>
      <c r="S1181" s="75" t="str">
        <f t="shared" si="18"/>
        <v>ME_KNOX</v>
      </c>
    </row>
    <row r="1182" spans="17:19" x14ac:dyDescent="0.2">
      <c r="Q1182" s="31" t="s">
        <v>333</v>
      </c>
      <c r="R1182" s="72" t="s">
        <v>87</v>
      </c>
      <c r="S1182" s="75" t="str">
        <f t="shared" si="18"/>
        <v>ME_LINCOLN</v>
      </c>
    </row>
    <row r="1183" spans="17:19" x14ac:dyDescent="0.2">
      <c r="Q1183" s="30" t="s">
        <v>1008</v>
      </c>
      <c r="R1183" s="71" t="s">
        <v>87</v>
      </c>
      <c r="S1183" s="75" t="str">
        <f t="shared" si="18"/>
        <v>ME_OXFORD</v>
      </c>
    </row>
    <row r="1184" spans="17:19" x14ac:dyDescent="0.2">
      <c r="Q1184" s="31" t="s">
        <v>1009</v>
      </c>
      <c r="R1184" s="72" t="s">
        <v>87</v>
      </c>
      <c r="S1184" s="75" t="str">
        <f t="shared" si="18"/>
        <v>ME_PENOBSCOT</v>
      </c>
    </row>
    <row r="1185" spans="17:19" x14ac:dyDescent="0.2">
      <c r="Q1185" s="30" t="s">
        <v>1010</v>
      </c>
      <c r="R1185" s="71" t="s">
        <v>87</v>
      </c>
      <c r="S1185" s="75" t="str">
        <f t="shared" si="18"/>
        <v>ME_PISCATAQUIS</v>
      </c>
    </row>
    <row r="1186" spans="17:19" x14ac:dyDescent="0.2">
      <c r="Q1186" s="31" t="s">
        <v>1011</v>
      </c>
      <c r="R1186" s="72" t="s">
        <v>87</v>
      </c>
      <c r="S1186" s="75" t="str">
        <f t="shared" si="18"/>
        <v>ME_SAGADAHOC</v>
      </c>
    </row>
    <row r="1187" spans="17:19" x14ac:dyDescent="0.2">
      <c r="Q1187" s="30" t="s">
        <v>1012</v>
      </c>
      <c r="R1187" s="71" t="s">
        <v>87</v>
      </c>
      <c r="S1187" s="75" t="str">
        <f t="shared" si="18"/>
        <v>ME_SOMERSET</v>
      </c>
    </row>
    <row r="1188" spans="17:19" x14ac:dyDescent="0.2">
      <c r="Q1188" s="31" t="s">
        <v>1013</v>
      </c>
      <c r="R1188" s="72" t="s">
        <v>87</v>
      </c>
      <c r="S1188" s="75" t="str">
        <f t="shared" si="18"/>
        <v>ME_WALDO</v>
      </c>
    </row>
    <row r="1189" spans="17:19" x14ac:dyDescent="0.2">
      <c r="Q1189" s="30" t="s">
        <v>261</v>
      </c>
      <c r="R1189" s="71" t="s">
        <v>87</v>
      </c>
      <c r="S1189" s="75" t="str">
        <f t="shared" si="18"/>
        <v>ME_WASHINGTON</v>
      </c>
    </row>
    <row r="1190" spans="17:19" x14ac:dyDescent="0.2">
      <c r="Q1190" s="31" t="s">
        <v>1014</v>
      </c>
      <c r="R1190" s="72" t="s">
        <v>87</v>
      </c>
      <c r="S1190" s="75" t="str">
        <f t="shared" si="18"/>
        <v>ME_YORK</v>
      </c>
    </row>
    <row r="1191" spans="17:19" x14ac:dyDescent="0.2">
      <c r="Q1191" s="30" t="s">
        <v>1015</v>
      </c>
      <c r="R1191" s="71" t="s">
        <v>86</v>
      </c>
      <c r="S1191" s="75" t="str">
        <f t="shared" si="18"/>
        <v>MD_ALLEGANY</v>
      </c>
    </row>
    <row r="1192" spans="17:19" x14ac:dyDescent="0.2">
      <c r="Q1192" s="31" t="s">
        <v>1016</v>
      </c>
      <c r="R1192" s="72" t="s">
        <v>86</v>
      </c>
      <c r="S1192" s="75" t="str">
        <f t="shared" si="18"/>
        <v>MD_ANNE ARUNDEL</v>
      </c>
    </row>
    <row r="1193" spans="17:19" x14ac:dyDescent="0.2">
      <c r="Q1193" s="30" t="s">
        <v>1017</v>
      </c>
      <c r="R1193" s="71" t="s">
        <v>86</v>
      </c>
      <c r="S1193" s="75" t="str">
        <f t="shared" si="18"/>
        <v>MD_BALTIMORE</v>
      </c>
    </row>
    <row r="1194" spans="17:19" x14ac:dyDescent="0.2">
      <c r="Q1194" s="31" t="s">
        <v>1018</v>
      </c>
      <c r="R1194" s="72" t="s">
        <v>86</v>
      </c>
      <c r="S1194" s="75" t="str">
        <f t="shared" si="18"/>
        <v>MD_CALVERT</v>
      </c>
    </row>
    <row r="1195" spans="17:19" x14ac:dyDescent="0.2">
      <c r="Q1195" s="30" t="s">
        <v>1019</v>
      </c>
      <c r="R1195" s="71" t="s">
        <v>86</v>
      </c>
      <c r="S1195" s="75" t="str">
        <f t="shared" si="18"/>
        <v>MD_CAROLINE</v>
      </c>
    </row>
    <row r="1196" spans="17:19" x14ac:dyDescent="0.2">
      <c r="Q1196" s="31" t="s">
        <v>310</v>
      </c>
      <c r="R1196" s="72" t="s">
        <v>86</v>
      </c>
      <c r="S1196" s="75" t="str">
        <f t="shared" si="18"/>
        <v>MD_CARROLL</v>
      </c>
    </row>
    <row r="1197" spans="17:19" x14ac:dyDescent="0.2">
      <c r="Q1197" s="30" t="s">
        <v>1020</v>
      </c>
      <c r="R1197" s="71" t="s">
        <v>86</v>
      </c>
      <c r="S1197" s="75" t="str">
        <f t="shared" si="18"/>
        <v>MD_CECIL</v>
      </c>
    </row>
    <row r="1198" spans="17:19" x14ac:dyDescent="0.2">
      <c r="Q1198" s="31" t="s">
        <v>1021</v>
      </c>
      <c r="R1198" s="72" t="s">
        <v>86</v>
      </c>
      <c r="S1198" s="75" t="str">
        <f t="shared" si="18"/>
        <v>MD_CHARLES</v>
      </c>
    </row>
    <row r="1199" spans="17:19" x14ac:dyDescent="0.2">
      <c r="Q1199" s="30" t="s">
        <v>1022</v>
      </c>
      <c r="R1199" s="71" t="s">
        <v>86</v>
      </c>
      <c r="S1199" s="75" t="str">
        <f t="shared" si="18"/>
        <v>MD_DORCHESTER</v>
      </c>
    </row>
    <row r="1200" spans="17:19" x14ac:dyDescent="0.2">
      <c r="Q1200" s="31" t="s">
        <v>1023</v>
      </c>
      <c r="R1200" s="72" t="s">
        <v>86</v>
      </c>
      <c r="S1200" s="75" t="str">
        <f t="shared" si="18"/>
        <v>MD_FREDERICK</v>
      </c>
    </row>
    <row r="1201" spans="17:19" x14ac:dyDescent="0.2">
      <c r="Q1201" s="30" t="s">
        <v>1024</v>
      </c>
      <c r="R1201" s="71" t="s">
        <v>86</v>
      </c>
      <c r="S1201" s="75" t="str">
        <f t="shared" si="18"/>
        <v>MD_GARRETT</v>
      </c>
    </row>
    <row r="1202" spans="17:19" x14ac:dyDescent="0.2">
      <c r="Q1202" s="31" t="s">
        <v>1025</v>
      </c>
      <c r="R1202" s="72" t="s">
        <v>86</v>
      </c>
      <c r="S1202" s="75" t="str">
        <f t="shared" si="18"/>
        <v>MD_HARFORD</v>
      </c>
    </row>
    <row r="1203" spans="17:19" x14ac:dyDescent="0.2">
      <c r="Q1203" s="30" t="s">
        <v>328</v>
      </c>
      <c r="R1203" s="71" t="s">
        <v>86</v>
      </c>
      <c r="S1203" s="75" t="str">
        <f t="shared" si="18"/>
        <v>MD_HOWARD</v>
      </c>
    </row>
    <row r="1204" spans="17:19" x14ac:dyDescent="0.2">
      <c r="Q1204" s="31" t="s">
        <v>479</v>
      </c>
      <c r="R1204" s="72" t="s">
        <v>86</v>
      </c>
      <c r="S1204" s="75" t="str">
        <f t="shared" si="18"/>
        <v>MD_KENT</v>
      </c>
    </row>
    <row r="1205" spans="17:19" x14ac:dyDescent="0.2">
      <c r="Q1205" s="30" t="s">
        <v>247</v>
      </c>
      <c r="R1205" s="71" t="s">
        <v>86</v>
      </c>
      <c r="S1205" s="75" t="str">
        <f t="shared" si="18"/>
        <v>MD_MONTGOMERY</v>
      </c>
    </row>
    <row r="1206" spans="17:19" x14ac:dyDescent="0.2">
      <c r="Q1206" s="31" t="s">
        <v>1026</v>
      </c>
      <c r="R1206" s="72" t="s">
        <v>86</v>
      </c>
      <c r="S1206" s="75" t="str">
        <f t="shared" si="18"/>
        <v>MD_PRINCE GEORGE'S</v>
      </c>
    </row>
    <row r="1207" spans="17:19" x14ac:dyDescent="0.2">
      <c r="Q1207" s="30" t="s">
        <v>1027</v>
      </c>
      <c r="R1207" s="71" t="s">
        <v>86</v>
      </c>
      <c r="S1207" s="75" t="str">
        <f t="shared" si="18"/>
        <v>MD_QUEEN ANNE'S</v>
      </c>
    </row>
    <row r="1208" spans="17:19" x14ac:dyDescent="0.2">
      <c r="Q1208" s="31" t="s">
        <v>1028</v>
      </c>
      <c r="R1208" s="72" t="s">
        <v>86</v>
      </c>
      <c r="S1208" s="75" t="str">
        <f t="shared" si="18"/>
        <v>MD_ST. MARY'S</v>
      </c>
    </row>
    <row r="1209" spans="17:19" x14ac:dyDescent="0.2">
      <c r="Q1209" s="30" t="s">
        <v>1012</v>
      </c>
      <c r="R1209" s="71" t="s">
        <v>86</v>
      </c>
      <c r="S1209" s="75" t="str">
        <f t="shared" si="18"/>
        <v>MD_SOMERSET</v>
      </c>
    </row>
    <row r="1210" spans="17:19" x14ac:dyDescent="0.2">
      <c r="Q1210" s="31" t="s">
        <v>618</v>
      </c>
      <c r="R1210" s="72" t="s">
        <v>86</v>
      </c>
      <c r="S1210" s="75" t="str">
        <f t="shared" si="18"/>
        <v>MD_TALBOT</v>
      </c>
    </row>
    <row r="1211" spans="17:19" x14ac:dyDescent="0.2">
      <c r="Q1211" s="30" t="s">
        <v>261</v>
      </c>
      <c r="R1211" s="71" t="s">
        <v>86</v>
      </c>
      <c r="S1211" s="75" t="str">
        <f t="shared" si="18"/>
        <v>MD_WASHINGTON</v>
      </c>
    </row>
    <row r="1212" spans="17:19" x14ac:dyDescent="0.2">
      <c r="Q1212" s="31" t="s">
        <v>1029</v>
      </c>
      <c r="R1212" s="72" t="s">
        <v>86</v>
      </c>
      <c r="S1212" s="75" t="str">
        <f t="shared" si="18"/>
        <v>MD_WICOMICO</v>
      </c>
    </row>
    <row r="1213" spans="17:19" x14ac:dyDescent="0.2">
      <c r="Q1213" s="30" t="s">
        <v>1030</v>
      </c>
      <c r="R1213" s="71" t="s">
        <v>86</v>
      </c>
      <c r="S1213" s="75" t="str">
        <f t="shared" si="18"/>
        <v>MD_WORCESTER</v>
      </c>
    </row>
    <row r="1214" spans="17:19" x14ac:dyDescent="0.2">
      <c r="Q1214" s="31" t="s">
        <v>1031</v>
      </c>
      <c r="R1214" s="72" t="s">
        <v>86</v>
      </c>
      <c r="S1214" s="75" t="str">
        <f t="shared" si="18"/>
        <v>MD_BALTIMORE CITY</v>
      </c>
    </row>
    <row r="1215" spans="17:19" x14ac:dyDescent="0.2">
      <c r="Q1215" s="30" t="s">
        <v>1032</v>
      </c>
      <c r="R1215" s="71" t="s">
        <v>85</v>
      </c>
      <c r="S1215" s="75" t="str">
        <f t="shared" si="18"/>
        <v>MA_BARNSTABLE</v>
      </c>
    </row>
    <row r="1216" spans="17:19" x14ac:dyDescent="0.2">
      <c r="Q1216" s="31" t="s">
        <v>1033</v>
      </c>
      <c r="R1216" s="72" t="s">
        <v>85</v>
      </c>
      <c r="S1216" s="75" t="str">
        <f t="shared" si="18"/>
        <v>MA_BERKSHIRE</v>
      </c>
    </row>
    <row r="1217" spans="17:19" x14ac:dyDescent="0.2">
      <c r="Q1217" s="30" t="s">
        <v>1034</v>
      </c>
      <c r="R1217" s="71" t="s">
        <v>85</v>
      </c>
      <c r="S1217" s="75" t="str">
        <f t="shared" si="18"/>
        <v>MA_BRISTOL</v>
      </c>
    </row>
    <row r="1218" spans="17:19" x14ac:dyDescent="0.2">
      <c r="Q1218" s="31" t="s">
        <v>1035</v>
      </c>
      <c r="R1218" s="72" t="s">
        <v>85</v>
      </c>
      <c r="S1218" s="75" t="str">
        <f t="shared" si="18"/>
        <v>MA_DUKES</v>
      </c>
    </row>
    <row r="1219" spans="17:19" x14ac:dyDescent="0.2">
      <c r="Q1219" s="30" t="s">
        <v>1036</v>
      </c>
      <c r="R1219" s="71" t="s">
        <v>85</v>
      </c>
      <c r="S1219" s="75" t="str">
        <f t="shared" si="18"/>
        <v>MA_ESSEX</v>
      </c>
    </row>
    <row r="1220" spans="17:19" x14ac:dyDescent="0.2">
      <c r="Q1220" s="31" t="s">
        <v>226</v>
      </c>
      <c r="R1220" s="72" t="s">
        <v>85</v>
      </c>
      <c r="S1220" s="75" t="str">
        <f t="shared" ref="S1220:S1283" si="19">UPPER(CONCATENATE(TRIM(R1220),"_",TRIM(Q1220)))</f>
        <v>MA_FRANKLIN</v>
      </c>
    </row>
    <row r="1221" spans="17:19" x14ac:dyDescent="0.2">
      <c r="Q1221" s="30" t="s">
        <v>1037</v>
      </c>
      <c r="R1221" s="71" t="s">
        <v>85</v>
      </c>
      <c r="S1221" s="75" t="str">
        <f t="shared" si="19"/>
        <v>MA_HAMPDEN</v>
      </c>
    </row>
    <row r="1222" spans="17:19" x14ac:dyDescent="0.2">
      <c r="Q1222" s="31" t="s">
        <v>1038</v>
      </c>
      <c r="R1222" s="72" t="s">
        <v>85</v>
      </c>
      <c r="S1222" s="75" t="str">
        <f t="shared" si="19"/>
        <v>MA_HAMPSHIRE</v>
      </c>
    </row>
    <row r="1223" spans="17:19" x14ac:dyDescent="0.2">
      <c r="Q1223" s="30" t="s">
        <v>474</v>
      </c>
      <c r="R1223" s="71" t="s">
        <v>85</v>
      </c>
      <c r="S1223" s="75" t="str">
        <f t="shared" si="19"/>
        <v>MA_MIDDLESEX</v>
      </c>
    </row>
    <row r="1224" spans="17:19" x14ac:dyDescent="0.2">
      <c r="Q1224" s="31" t="s">
        <v>1039</v>
      </c>
      <c r="R1224" s="72" t="s">
        <v>85</v>
      </c>
      <c r="S1224" s="75" t="str">
        <f t="shared" si="19"/>
        <v>MA_NANTUCKET</v>
      </c>
    </row>
    <row r="1225" spans="17:19" x14ac:dyDescent="0.2">
      <c r="Q1225" s="30" t="s">
        <v>1040</v>
      </c>
      <c r="R1225" s="71" t="s">
        <v>85</v>
      </c>
      <c r="S1225" s="75" t="str">
        <f t="shared" si="19"/>
        <v>MA_NORFOLK</v>
      </c>
    </row>
    <row r="1226" spans="17:19" x14ac:dyDescent="0.2">
      <c r="Q1226" s="31" t="s">
        <v>806</v>
      </c>
      <c r="R1226" s="72" t="s">
        <v>85</v>
      </c>
      <c r="S1226" s="75" t="str">
        <f t="shared" si="19"/>
        <v>MA_PLYMOUTH</v>
      </c>
    </row>
    <row r="1227" spans="17:19" x14ac:dyDescent="0.2">
      <c r="Q1227" s="30" t="s">
        <v>1041</v>
      </c>
      <c r="R1227" s="71" t="s">
        <v>85</v>
      </c>
      <c r="S1227" s="75" t="str">
        <f t="shared" si="19"/>
        <v>MA_SUFFOLK</v>
      </c>
    </row>
    <row r="1228" spans="17:19" x14ac:dyDescent="0.2">
      <c r="Q1228" s="31" t="s">
        <v>1030</v>
      </c>
      <c r="R1228" s="72" t="s">
        <v>85</v>
      </c>
      <c r="S1228" s="75" t="str">
        <f t="shared" si="19"/>
        <v>MA_WORCESTER</v>
      </c>
    </row>
    <row r="1229" spans="17:19" x14ac:dyDescent="0.2">
      <c r="Q1229" s="30" t="s">
        <v>1042</v>
      </c>
      <c r="R1229" s="71" t="s">
        <v>84</v>
      </c>
      <c r="S1229" s="75" t="str">
        <f t="shared" si="19"/>
        <v>MI_ALCONA</v>
      </c>
    </row>
    <row r="1230" spans="17:19" x14ac:dyDescent="0.2">
      <c r="Q1230" s="31" t="s">
        <v>1043</v>
      </c>
      <c r="R1230" s="72" t="s">
        <v>84</v>
      </c>
      <c r="S1230" s="75" t="str">
        <f t="shared" si="19"/>
        <v>MI_ALGER</v>
      </c>
    </row>
    <row r="1231" spans="17:19" x14ac:dyDescent="0.2">
      <c r="Q1231" s="30" t="s">
        <v>1044</v>
      </c>
      <c r="R1231" s="71" t="s">
        <v>84</v>
      </c>
      <c r="S1231" s="75" t="str">
        <f t="shared" si="19"/>
        <v>MI_ALLEGAN</v>
      </c>
    </row>
    <row r="1232" spans="17:19" x14ac:dyDescent="0.2">
      <c r="Q1232" s="31" t="s">
        <v>1045</v>
      </c>
      <c r="R1232" s="72" t="s">
        <v>84</v>
      </c>
      <c r="S1232" s="75" t="str">
        <f t="shared" si="19"/>
        <v>MI_ALPENA</v>
      </c>
    </row>
    <row r="1233" spans="17:19" x14ac:dyDescent="0.2">
      <c r="Q1233" s="30" t="s">
        <v>1046</v>
      </c>
      <c r="R1233" s="71" t="s">
        <v>84</v>
      </c>
      <c r="S1233" s="75" t="str">
        <f t="shared" si="19"/>
        <v>MI_ANTRIM</v>
      </c>
    </row>
    <row r="1234" spans="17:19" x14ac:dyDescent="0.2">
      <c r="Q1234" s="31" t="s">
        <v>1047</v>
      </c>
      <c r="R1234" s="72" t="s">
        <v>84</v>
      </c>
      <c r="S1234" s="75" t="str">
        <f t="shared" si="19"/>
        <v>MI_ARENAC</v>
      </c>
    </row>
    <row r="1235" spans="17:19" x14ac:dyDescent="0.2">
      <c r="Q1235" s="30" t="s">
        <v>1048</v>
      </c>
      <c r="R1235" s="71" t="s">
        <v>84</v>
      </c>
      <c r="S1235" s="75" t="str">
        <f t="shared" si="19"/>
        <v>MI_BARAGA</v>
      </c>
    </row>
    <row r="1236" spans="17:19" x14ac:dyDescent="0.2">
      <c r="Q1236" s="31" t="s">
        <v>1049</v>
      </c>
      <c r="R1236" s="72" t="s">
        <v>84</v>
      </c>
      <c r="S1236" s="75" t="str">
        <f t="shared" si="19"/>
        <v>MI_BARRY</v>
      </c>
    </row>
    <row r="1237" spans="17:19" x14ac:dyDescent="0.2">
      <c r="Q1237" s="30" t="s">
        <v>486</v>
      </c>
      <c r="R1237" s="71" t="s">
        <v>84</v>
      </c>
      <c r="S1237" s="75" t="str">
        <f t="shared" si="19"/>
        <v>MI_BAY</v>
      </c>
    </row>
    <row r="1238" spans="17:19" x14ac:dyDescent="0.2">
      <c r="Q1238" s="31" t="s">
        <v>1050</v>
      </c>
      <c r="R1238" s="72" t="s">
        <v>84</v>
      </c>
      <c r="S1238" s="75" t="str">
        <f t="shared" si="19"/>
        <v>MI_BENZIE</v>
      </c>
    </row>
    <row r="1239" spans="17:19" x14ac:dyDescent="0.2">
      <c r="Q1239" s="30" t="s">
        <v>540</v>
      </c>
      <c r="R1239" s="71" t="s">
        <v>84</v>
      </c>
      <c r="S1239" s="75" t="str">
        <f t="shared" si="19"/>
        <v>MI_BERRIEN</v>
      </c>
    </row>
    <row r="1240" spans="17:19" x14ac:dyDescent="0.2">
      <c r="Q1240" s="31" t="s">
        <v>1051</v>
      </c>
      <c r="R1240" s="72" t="s">
        <v>84</v>
      </c>
      <c r="S1240" s="75" t="str">
        <f t="shared" si="19"/>
        <v>MI_BRANCH</v>
      </c>
    </row>
    <row r="1241" spans="17:19" x14ac:dyDescent="0.2">
      <c r="Q1241" s="30" t="s">
        <v>204</v>
      </c>
      <c r="R1241" s="71" t="s">
        <v>84</v>
      </c>
      <c r="S1241" s="75" t="str">
        <f t="shared" si="19"/>
        <v>MI_CALHOUN</v>
      </c>
    </row>
    <row r="1242" spans="17:19" x14ac:dyDescent="0.2">
      <c r="Q1242" s="31" t="s">
        <v>683</v>
      </c>
      <c r="R1242" s="72" t="s">
        <v>84</v>
      </c>
      <c r="S1242" s="75" t="str">
        <f t="shared" si="19"/>
        <v>MI_CASS</v>
      </c>
    </row>
    <row r="1243" spans="17:19" x14ac:dyDescent="0.2">
      <c r="Q1243" s="30" t="s">
        <v>1052</v>
      </c>
      <c r="R1243" s="71" t="s">
        <v>84</v>
      </c>
      <c r="S1243" s="75" t="str">
        <f t="shared" si="19"/>
        <v>MI_CHARLEVOIX</v>
      </c>
    </row>
    <row r="1244" spans="17:19" x14ac:dyDescent="0.2">
      <c r="Q1244" s="31" t="s">
        <v>1053</v>
      </c>
      <c r="R1244" s="72" t="s">
        <v>84</v>
      </c>
      <c r="S1244" s="75" t="str">
        <f t="shared" si="19"/>
        <v>MI_CHEBOYGAN</v>
      </c>
    </row>
    <row r="1245" spans="17:19" x14ac:dyDescent="0.2">
      <c r="Q1245" s="30" t="s">
        <v>1054</v>
      </c>
      <c r="R1245" s="71" t="s">
        <v>84</v>
      </c>
      <c r="S1245" s="75" t="str">
        <f t="shared" si="19"/>
        <v>MI_CHIPPEWA</v>
      </c>
    </row>
    <row r="1246" spans="17:19" x14ac:dyDescent="0.2">
      <c r="Q1246" s="31" t="s">
        <v>1055</v>
      </c>
      <c r="R1246" s="72" t="s">
        <v>84</v>
      </c>
      <c r="S1246" s="75" t="str">
        <f t="shared" si="19"/>
        <v>MI_CLARE</v>
      </c>
    </row>
    <row r="1247" spans="17:19" x14ac:dyDescent="0.2">
      <c r="Q1247" s="30" t="s">
        <v>686</v>
      </c>
      <c r="R1247" s="71" t="s">
        <v>84</v>
      </c>
      <c r="S1247" s="75" t="str">
        <f t="shared" si="19"/>
        <v>MI_CLINTON</v>
      </c>
    </row>
    <row r="1248" spans="17:19" x14ac:dyDescent="0.2">
      <c r="Q1248" s="31" t="s">
        <v>317</v>
      </c>
      <c r="R1248" s="72" t="s">
        <v>84</v>
      </c>
      <c r="S1248" s="75" t="str">
        <f t="shared" si="19"/>
        <v>MI_CRAWFORD</v>
      </c>
    </row>
    <row r="1249" spans="17:19" x14ac:dyDescent="0.2">
      <c r="Q1249" s="30" t="s">
        <v>431</v>
      </c>
      <c r="R1249" s="71" t="s">
        <v>84</v>
      </c>
      <c r="S1249" s="75" t="str">
        <f t="shared" si="19"/>
        <v>MI_DELTA</v>
      </c>
    </row>
    <row r="1250" spans="17:19" x14ac:dyDescent="0.2">
      <c r="Q1250" s="31" t="s">
        <v>787</v>
      </c>
      <c r="R1250" s="72" t="s">
        <v>84</v>
      </c>
      <c r="S1250" s="75" t="str">
        <f t="shared" si="19"/>
        <v>MI_DICKINSON</v>
      </c>
    </row>
    <row r="1251" spans="17:19" x14ac:dyDescent="0.2">
      <c r="Q1251" s="30" t="s">
        <v>1056</v>
      </c>
      <c r="R1251" s="71" t="s">
        <v>84</v>
      </c>
      <c r="S1251" s="75" t="str">
        <f t="shared" si="19"/>
        <v>MI_EATON</v>
      </c>
    </row>
    <row r="1252" spans="17:19" x14ac:dyDescent="0.2">
      <c r="Q1252" s="31" t="s">
        <v>789</v>
      </c>
      <c r="R1252" s="72" t="s">
        <v>84</v>
      </c>
      <c r="S1252" s="75" t="str">
        <f t="shared" si="19"/>
        <v>MI_EMMET</v>
      </c>
    </row>
    <row r="1253" spans="17:19" x14ac:dyDescent="0.2">
      <c r="Q1253" s="30" t="s">
        <v>1057</v>
      </c>
      <c r="R1253" s="71" t="s">
        <v>84</v>
      </c>
      <c r="S1253" s="75" t="str">
        <f t="shared" si="19"/>
        <v>MI_GENESEE</v>
      </c>
    </row>
    <row r="1254" spans="17:19" x14ac:dyDescent="0.2">
      <c r="Q1254" s="31" t="s">
        <v>1058</v>
      </c>
      <c r="R1254" s="72" t="s">
        <v>84</v>
      </c>
      <c r="S1254" s="75" t="str">
        <f t="shared" si="19"/>
        <v>MI_GLADWIN</v>
      </c>
    </row>
    <row r="1255" spans="17:19" x14ac:dyDescent="0.2">
      <c r="Q1255" s="30" t="s">
        <v>1059</v>
      </c>
      <c r="R1255" s="71" t="s">
        <v>84</v>
      </c>
      <c r="S1255" s="75" t="str">
        <f t="shared" si="19"/>
        <v>MI_GOGEBIC</v>
      </c>
    </row>
    <row r="1256" spans="17:19" x14ac:dyDescent="0.2">
      <c r="Q1256" s="31" t="s">
        <v>1060</v>
      </c>
      <c r="R1256" s="72" t="s">
        <v>84</v>
      </c>
      <c r="S1256" s="75" t="str">
        <f t="shared" si="19"/>
        <v>MI_GRAND TRAVERSE</v>
      </c>
    </row>
    <row r="1257" spans="17:19" x14ac:dyDescent="0.2">
      <c r="Q1257" s="30" t="s">
        <v>1061</v>
      </c>
      <c r="R1257" s="71" t="s">
        <v>84</v>
      </c>
      <c r="S1257" s="75" t="str">
        <f t="shared" si="19"/>
        <v>MI_GRATIOT</v>
      </c>
    </row>
    <row r="1258" spans="17:19" x14ac:dyDescent="0.2">
      <c r="Q1258" s="31" t="s">
        <v>1062</v>
      </c>
      <c r="R1258" s="72" t="s">
        <v>84</v>
      </c>
      <c r="S1258" s="75" t="str">
        <f t="shared" si="19"/>
        <v>MI_HILLSDALE</v>
      </c>
    </row>
    <row r="1259" spans="17:19" x14ac:dyDescent="0.2">
      <c r="Q1259" s="30" t="s">
        <v>1063</v>
      </c>
      <c r="R1259" s="71" t="s">
        <v>84</v>
      </c>
      <c r="S1259" s="75" t="str">
        <f t="shared" si="19"/>
        <v>MI_HOUGHTON</v>
      </c>
    </row>
    <row r="1260" spans="17:19" x14ac:dyDescent="0.2">
      <c r="Q1260" s="31" t="s">
        <v>1064</v>
      </c>
      <c r="R1260" s="72" t="s">
        <v>84</v>
      </c>
      <c r="S1260" s="75" t="str">
        <f t="shared" si="19"/>
        <v>MI_HURON</v>
      </c>
    </row>
    <row r="1261" spans="17:19" x14ac:dyDescent="0.2">
      <c r="Q1261" s="30" t="s">
        <v>1065</v>
      </c>
      <c r="R1261" s="71" t="s">
        <v>84</v>
      </c>
      <c r="S1261" s="75" t="str">
        <f t="shared" si="19"/>
        <v>MI_INGHAM</v>
      </c>
    </row>
    <row r="1262" spans="17:19" x14ac:dyDescent="0.2">
      <c r="Q1262" s="31" t="s">
        <v>1066</v>
      </c>
      <c r="R1262" s="72" t="s">
        <v>84</v>
      </c>
      <c r="S1262" s="75" t="str">
        <f t="shared" si="19"/>
        <v>MI_IONIA</v>
      </c>
    </row>
    <row r="1263" spans="17:19" x14ac:dyDescent="0.2">
      <c r="Q1263" s="30" t="s">
        <v>1067</v>
      </c>
      <c r="R1263" s="71" t="s">
        <v>84</v>
      </c>
      <c r="S1263" s="75" t="str">
        <f t="shared" si="19"/>
        <v>MI_IOSCO</v>
      </c>
    </row>
    <row r="1264" spans="17:19" x14ac:dyDescent="0.2">
      <c r="Q1264" s="31" t="s">
        <v>1068</v>
      </c>
      <c r="R1264" s="72" t="s">
        <v>84</v>
      </c>
      <c r="S1264" s="75" t="str">
        <f t="shared" si="19"/>
        <v>MI_IRON</v>
      </c>
    </row>
    <row r="1265" spans="17:19" x14ac:dyDescent="0.2">
      <c r="Q1265" s="30" t="s">
        <v>1069</v>
      </c>
      <c r="R1265" s="71" t="s">
        <v>84</v>
      </c>
      <c r="S1265" s="75" t="str">
        <f t="shared" si="19"/>
        <v>MI_ISABELLA</v>
      </c>
    </row>
    <row r="1266" spans="17:19" x14ac:dyDescent="0.2">
      <c r="Q1266" s="31" t="s">
        <v>232</v>
      </c>
      <c r="R1266" s="72" t="s">
        <v>84</v>
      </c>
      <c r="S1266" s="75" t="str">
        <f t="shared" si="19"/>
        <v>MI_JACKSON</v>
      </c>
    </row>
    <row r="1267" spans="17:19" x14ac:dyDescent="0.2">
      <c r="Q1267" s="30" t="s">
        <v>1070</v>
      </c>
      <c r="R1267" s="71" t="s">
        <v>84</v>
      </c>
      <c r="S1267" s="75" t="str">
        <f t="shared" si="19"/>
        <v>MI_KALAMAZOO</v>
      </c>
    </row>
    <row r="1268" spans="17:19" x14ac:dyDescent="0.2">
      <c r="Q1268" s="31" t="s">
        <v>1071</v>
      </c>
      <c r="R1268" s="72" t="s">
        <v>84</v>
      </c>
      <c r="S1268" s="75" t="str">
        <f t="shared" si="19"/>
        <v>MI_KALKASKA</v>
      </c>
    </row>
    <row r="1269" spans="17:19" x14ac:dyDescent="0.2">
      <c r="Q1269" s="30" t="s">
        <v>479</v>
      </c>
      <c r="R1269" s="71" t="s">
        <v>84</v>
      </c>
      <c r="S1269" s="75" t="str">
        <f t="shared" si="19"/>
        <v>MI_KENT</v>
      </c>
    </row>
    <row r="1270" spans="17:19" x14ac:dyDescent="0.2">
      <c r="Q1270" s="31" t="s">
        <v>1072</v>
      </c>
      <c r="R1270" s="72" t="s">
        <v>84</v>
      </c>
      <c r="S1270" s="75" t="str">
        <f t="shared" si="19"/>
        <v>MI_KEWEENAW</v>
      </c>
    </row>
    <row r="1271" spans="17:19" x14ac:dyDescent="0.2">
      <c r="Q1271" s="30" t="s">
        <v>377</v>
      </c>
      <c r="R1271" s="71" t="s">
        <v>84</v>
      </c>
      <c r="S1271" s="75" t="str">
        <f t="shared" si="19"/>
        <v>MI_LAKE</v>
      </c>
    </row>
    <row r="1272" spans="17:19" x14ac:dyDescent="0.2">
      <c r="Q1272" s="31" t="s">
        <v>1073</v>
      </c>
      <c r="R1272" s="72" t="s">
        <v>84</v>
      </c>
      <c r="S1272" s="75" t="str">
        <f t="shared" si="19"/>
        <v>MI_LAPEER</v>
      </c>
    </row>
    <row r="1273" spans="17:19" x14ac:dyDescent="0.2">
      <c r="Q1273" s="30" t="s">
        <v>1074</v>
      </c>
      <c r="R1273" s="71" t="s">
        <v>84</v>
      </c>
      <c r="S1273" s="75" t="str">
        <f t="shared" si="19"/>
        <v>MI_LEELANAU</v>
      </c>
    </row>
    <row r="1274" spans="17:19" x14ac:dyDescent="0.2">
      <c r="Q1274" s="31" t="s">
        <v>1075</v>
      </c>
      <c r="R1274" s="72" t="s">
        <v>84</v>
      </c>
      <c r="S1274" s="75" t="str">
        <f t="shared" si="19"/>
        <v>MI_LENAWEE</v>
      </c>
    </row>
    <row r="1275" spans="17:19" x14ac:dyDescent="0.2">
      <c r="Q1275" s="30" t="s">
        <v>706</v>
      </c>
      <c r="R1275" s="71" t="s">
        <v>84</v>
      </c>
      <c r="S1275" s="75" t="str">
        <f t="shared" si="19"/>
        <v>MI_LIVINGSTON</v>
      </c>
    </row>
    <row r="1276" spans="17:19" x14ac:dyDescent="0.2">
      <c r="Q1276" s="31" t="s">
        <v>1076</v>
      </c>
      <c r="R1276" s="72" t="s">
        <v>84</v>
      </c>
      <c r="S1276" s="75" t="str">
        <f t="shared" si="19"/>
        <v>MI_LUCE</v>
      </c>
    </row>
    <row r="1277" spans="17:19" x14ac:dyDescent="0.2">
      <c r="Q1277" s="30" t="s">
        <v>1077</v>
      </c>
      <c r="R1277" s="71" t="s">
        <v>84</v>
      </c>
      <c r="S1277" s="75" t="str">
        <f t="shared" si="19"/>
        <v>MI_MACKINAC</v>
      </c>
    </row>
    <row r="1278" spans="17:19" x14ac:dyDescent="0.2">
      <c r="Q1278" s="31" t="s">
        <v>1078</v>
      </c>
      <c r="R1278" s="72" t="s">
        <v>84</v>
      </c>
      <c r="S1278" s="75" t="str">
        <f t="shared" si="19"/>
        <v>MI_MACOMB</v>
      </c>
    </row>
    <row r="1279" spans="17:19" x14ac:dyDescent="0.2">
      <c r="Q1279" s="30" t="s">
        <v>1079</v>
      </c>
      <c r="R1279" s="71" t="s">
        <v>84</v>
      </c>
      <c r="S1279" s="75" t="str">
        <f t="shared" si="19"/>
        <v>MI_MANISTEE</v>
      </c>
    </row>
    <row r="1280" spans="17:19" x14ac:dyDescent="0.2">
      <c r="Q1280" s="31" t="s">
        <v>1080</v>
      </c>
      <c r="R1280" s="72" t="s">
        <v>84</v>
      </c>
      <c r="S1280" s="75" t="str">
        <f t="shared" si="19"/>
        <v>MI_MARQUETTE</v>
      </c>
    </row>
    <row r="1281" spans="17:19" x14ac:dyDescent="0.2">
      <c r="Q1281" s="30" t="s">
        <v>711</v>
      </c>
      <c r="R1281" s="71" t="s">
        <v>84</v>
      </c>
      <c r="S1281" s="75" t="str">
        <f t="shared" si="19"/>
        <v>MI_MASON</v>
      </c>
    </row>
    <row r="1282" spans="17:19" x14ac:dyDescent="0.2">
      <c r="Q1282" s="31" t="s">
        <v>1081</v>
      </c>
      <c r="R1282" s="72" t="s">
        <v>84</v>
      </c>
      <c r="S1282" s="75" t="str">
        <f t="shared" si="19"/>
        <v>MI_MECOSTA</v>
      </c>
    </row>
    <row r="1283" spans="17:19" x14ac:dyDescent="0.2">
      <c r="Q1283" s="30" t="s">
        <v>1082</v>
      </c>
      <c r="R1283" s="71" t="s">
        <v>84</v>
      </c>
      <c r="S1283" s="75" t="str">
        <f t="shared" si="19"/>
        <v>MI_MENOMINEE</v>
      </c>
    </row>
    <row r="1284" spans="17:19" x14ac:dyDescent="0.2">
      <c r="Q1284" s="31" t="s">
        <v>1083</v>
      </c>
      <c r="R1284" s="72" t="s">
        <v>84</v>
      </c>
      <c r="S1284" s="75" t="str">
        <f t="shared" ref="S1284:S1347" si="20">UPPER(CONCATENATE(TRIM(R1284),"_",TRIM(Q1284)))</f>
        <v>MI_MIDLAND</v>
      </c>
    </row>
    <row r="1285" spans="17:19" x14ac:dyDescent="0.2">
      <c r="Q1285" s="30" t="s">
        <v>1084</v>
      </c>
      <c r="R1285" s="71" t="s">
        <v>84</v>
      </c>
      <c r="S1285" s="75" t="str">
        <f t="shared" si="20"/>
        <v>MI_MISSAUKEE</v>
      </c>
    </row>
    <row r="1286" spans="17:19" x14ac:dyDescent="0.2">
      <c r="Q1286" s="31" t="s">
        <v>246</v>
      </c>
      <c r="R1286" s="72" t="s">
        <v>84</v>
      </c>
      <c r="S1286" s="75" t="str">
        <f t="shared" si="20"/>
        <v>MI_MONROE</v>
      </c>
    </row>
    <row r="1287" spans="17:19" x14ac:dyDescent="0.2">
      <c r="Q1287" s="30" t="s">
        <v>1085</v>
      </c>
      <c r="R1287" s="71" t="s">
        <v>84</v>
      </c>
      <c r="S1287" s="75" t="str">
        <f t="shared" si="20"/>
        <v>MI_MONTCALM</v>
      </c>
    </row>
    <row r="1288" spans="17:19" x14ac:dyDescent="0.2">
      <c r="Q1288" s="31" t="s">
        <v>1086</v>
      </c>
      <c r="R1288" s="72" t="s">
        <v>84</v>
      </c>
      <c r="S1288" s="75" t="str">
        <f t="shared" si="20"/>
        <v>MI_MONTMORENCY</v>
      </c>
    </row>
    <row r="1289" spans="17:19" x14ac:dyDescent="0.2">
      <c r="Q1289" s="30" t="s">
        <v>1087</v>
      </c>
      <c r="R1289" s="71" t="s">
        <v>84</v>
      </c>
      <c r="S1289" s="75" t="str">
        <f t="shared" si="20"/>
        <v>MI_MUSKEGON</v>
      </c>
    </row>
    <row r="1290" spans="17:19" x14ac:dyDescent="0.2">
      <c r="Q1290" s="31" t="s">
        <v>1088</v>
      </c>
      <c r="R1290" s="72" t="s">
        <v>84</v>
      </c>
      <c r="S1290" s="75" t="str">
        <f t="shared" si="20"/>
        <v>MI_NEWAYGO</v>
      </c>
    </row>
    <row r="1291" spans="17:19" x14ac:dyDescent="0.2">
      <c r="Q1291" s="30" t="s">
        <v>1089</v>
      </c>
      <c r="R1291" s="71" t="s">
        <v>84</v>
      </c>
      <c r="S1291" s="75" t="str">
        <f t="shared" si="20"/>
        <v>MI_OAKLAND</v>
      </c>
    </row>
    <row r="1292" spans="17:19" x14ac:dyDescent="0.2">
      <c r="Q1292" s="31" t="s">
        <v>1090</v>
      </c>
      <c r="R1292" s="72" t="s">
        <v>84</v>
      </c>
      <c r="S1292" s="75" t="str">
        <f t="shared" si="20"/>
        <v>MI_OCEANA</v>
      </c>
    </row>
    <row r="1293" spans="17:19" x14ac:dyDescent="0.2">
      <c r="Q1293" s="30" t="s">
        <v>1091</v>
      </c>
      <c r="R1293" s="71" t="s">
        <v>84</v>
      </c>
      <c r="S1293" s="75" t="str">
        <f t="shared" si="20"/>
        <v>MI_OGEMAW</v>
      </c>
    </row>
    <row r="1294" spans="17:19" x14ac:dyDescent="0.2">
      <c r="Q1294" s="31" t="s">
        <v>1092</v>
      </c>
      <c r="R1294" s="72" t="s">
        <v>84</v>
      </c>
      <c r="S1294" s="75" t="str">
        <f t="shared" si="20"/>
        <v>MI_ONTONAGON</v>
      </c>
    </row>
    <row r="1295" spans="17:19" x14ac:dyDescent="0.2">
      <c r="Q1295" s="30" t="s">
        <v>518</v>
      </c>
      <c r="R1295" s="71" t="s">
        <v>84</v>
      </c>
      <c r="S1295" s="75" t="str">
        <f t="shared" si="20"/>
        <v>MI_OSCEOLA</v>
      </c>
    </row>
    <row r="1296" spans="17:19" x14ac:dyDescent="0.2">
      <c r="Q1296" s="31" t="s">
        <v>1093</v>
      </c>
      <c r="R1296" s="72" t="s">
        <v>84</v>
      </c>
      <c r="S1296" s="75" t="str">
        <f t="shared" si="20"/>
        <v>MI_OSCODA</v>
      </c>
    </row>
    <row r="1297" spans="17:19" x14ac:dyDescent="0.2">
      <c r="Q1297" s="30" t="s">
        <v>1094</v>
      </c>
      <c r="R1297" s="71" t="s">
        <v>84</v>
      </c>
      <c r="S1297" s="75" t="str">
        <f t="shared" si="20"/>
        <v>MI_OTSEGO</v>
      </c>
    </row>
    <row r="1298" spans="17:19" x14ac:dyDescent="0.2">
      <c r="Q1298" s="31" t="s">
        <v>860</v>
      </c>
      <c r="R1298" s="72" t="s">
        <v>84</v>
      </c>
      <c r="S1298" s="75" t="str">
        <f t="shared" si="20"/>
        <v>MI_OTTAWA</v>
      </c>
    </row>
    <row r="1299" spans="17:19" x14ac:dyDescent="0.2">
      <c r="Q1299" s="30" t="s">
        <v>1095</v>
      </c>
      <c r="R1299" s="71" t="s">
        <v>84</v>
      </c>
      <c r="S1299" s="75" t="str">
        <f t="shared" si="20"/>
        <v>MI_PRESQUE ISLE</v>
      </c>
    </row>
    <row r="1300" spans="17:19" x14ac:dyDescent="0.2">
      <c r="Q1300" s="31" t="s">
        <v>1096</v>
      </c>
      <c r="R1300" s="72" t="s">
        <v>84</v>
      </c>
      <c r="S1300" s="75" t="str">
        <f t="shared" si="20"/>
        <v>MI_ROSCOMMON</v>
      </c>
    </row>
    <row r="1301" spans="17:19" x14ac:dyDescent="0.2">
      <c r="Q1301" s="30" t="s">
        <v>1097</v>
      </c>
      <c r="R1301" s="71" t="s">
        <v>84</v>
      </c>
      <c r="S1301" s="75" t="str">
        <f t="shared" si="20"/>
        <v>MI_SAGINAW</v>
      </c>
    </row>
    <row r="1302" spans="17:19" x14ac:dyDescent="0.2">
      <c r="Q1302" s="31" t="s">
        <v>254</v>
      </c>
      <c r="R1302" s="72" t="s">
        <v>84</v>
      </c>
      <c r="S1302" s="75" t="str">
        <f t="shared" si="20"/>
        <v>MI_ST. CLAIR</v>
      </c>
    </row>
    <row r="1303" spans="17:19" x14ac:dyDescent="0.2">
      <c r="Q1303" s="30" t="s">
        <v>760</v>
      </c>
      <c r="R1303" s="71" t="s">
        <v>84</v>
      </c>
      <c r="S1303" s="75" t="str">
        <f t="shared" si="20"/>
        <v>MI_ST. JOSEPH</v>
      </c>
    </row>
    <row r="1304" spans="17:19" x14ac:dyDescent="0.2">
      <c r="Q1304" s="31" t="s">
        <v>1098</v>
      </c>
      <c r="R1304" s="72" t="s">
        <v>84</v>
      </c>
      <c r="S1304" s="75" t="str">
        <f t="shared" si="20"/>
        <v>MI_SANILAC</v>
      </c>
    </row>
    <row r="1305" spans="17:19" x14ac:dyDescent="0.2">
      <c r="Q1305" s="30" t="s">
        <v>1099</v>
      </c>
      <c r="R1305" s="71" t="s">
        <v>84</v>
      </c>
      <c r="S1305" s="75" t="str">
        <f t="shared" si="20"/>
        <v>MI_SCHOOLCRAFT</v>
      </c>
    </row>
    <row r="1306" spans="17:19" x14ac:dyDescent="0.2">
      <c r="Q1306" s="31" t="s">
        <v>1100</v>
      </c>
      <c r="R1306" s="72" t="s">
        <v>84</v>
      </c>
      <c r="S1306" s="75" t="str">
        <f t="shared" si="20"/>
        <v>MI_SHIAWASSEE</v>
      </c>
    </row>
    <row r="1307" spans="17:19" x14ac:dyDescent="0.2">
      <c r="Q1307" s="30" t="s">
        <v>1101</v>
      </c>
      <c r="R1307" s="71" t="s">
        <v>84</v>
      </c>
      <c r="S1307" s="75" t="str">
        <f t="shared" si="20"/>
        <v>MI_TUSCOLA</v>
      </c>
    </row>
    <row r="1308" spans="17:19" x14ac:dyDescent="0.2">
      <c r="Q1308" s="31" t="s">
        <v>357</v>
      </c>
      <c r="R1308" s="72" t="s">
        <v>84</v>
      </c>
      <c r="S1308" s="75" t="str">
        <f t="shared" si="20"/>
        <v>MI_VAN BUREN</v>
      </c>
    </row>
    <row r="1309" spans="17:19" x14ac:dyDescent="0.2">
      <c r="Q1309" s="30" t="s">
        <v>1102</v>
      </c>
      <c r="R1309" s="71" t="s">
        <v>84</v>
      </c>
      <c r="S1309" s="75" t="str">
        <f t="shared" si="20"/>
        <v>MI_WASHTENAW</v>
      </c>
    </row>
    <row r="1310" spans="17:19" x14ac:dyDescent="0.2">
      <c r="Q1310" s="31" t="s">
        <v>634</v>
      </c>
      <c r="R1310" s="72" t="s">
        <v>84</v>
      </c>
      <c r="S1310" s="75" t="str">
        <f t="shared" si="20"/>
        <v>MI_WAYNE</v>
      </c>
    </row>
    <row r="1311" spans="17:19" x14ac:dyDescent="0.2">
      <c r="Q1311" s="30" t="s">
        <v>1103</v>
      </c>
      <c r="R1311" s="71" t="s">
        <v>84</v>
      </c>
      <c r="S1311" s="75" t="str">
        <f t="shared" si="20"/>
        <v>MI_WEXFORD</v>
      </c>
    </row>
    <row r="1312" spans="17:19" x14ac:dyDescent="0.2">
      <c r="Q1312" s="31" t="s">
        <v>1104</v>
      </c>
      <c r="R1312" s="72" t="s">
        <v>83</v>
      </c>
      <c r="S1312" s="75" t="str">
        <f t="shared" si="20"/>
        <v>MN_AITKIN</v>
      </c>
    </row>
    <row r="1313" spans="17:19" x14ac:dyDescent="0.2">
      <c r="Q1313" s="30" t="s">
        <v>1105</v>
      </c>
      <c r="R1313" s="71" t="s">
        <v>83</v>
      </c>
      <c r="S1313" s="75" t="str">
        <f t="shared" si="20"/>
        <v>MN_ANOKA</v>
      </c>
    </row>
    <row r="1314" spans="17:19" x14ac:dyDescent="0.2">
      <c r="Q1314" s="31" t="s">
        <v>1106</v>
      </c>
      <c r="R1314" s="72" t="s">
        <v>83</v>
      </c>
      <c r="S1314" s="75" t="str">
        <f t="shared" si="20"/>
        <v>MN_BECKER</v>
      </c>
    </row>
    <row r="1315" spans="17:19" x14ac:dyDescent="0.2">
      <c r="Q1315" s="30" t="s">
        <v>1107</v>
      </c>
      <c r="R1315" s="71" t="s">
        <v>83</v>
      </c>
      <c r="S1315" s="75" t="str">
        <f t="shared" si="20"/>
        <v>MN_BELTRAMI</v>
      </c>
    </row>
    <row r="1316" spans="17:19" x14ac:dyDescent="0.2">
      <c r="Q1316" s="31" t="s">
        <v>307</v>
      </c>
      <c r="R1316" s="72" t="s">
        <v>83</v>
      </c>
      <c r="S1316" s="75" t="str">
        <f t="shared" si="20"/>
        <v>MN_BENTON</v>
      </c>
    </row>
    <row r="1317" spans="17:19" x14ac:dyDescent="0.2">
      <c r="Q1317" s="30" t="s">
        <v>1108</v>
      </c>
      <c r="R1317" s="71" t="s">
        <v>83</v>
      </c>
      <c r="S1317" s="75" t="str">
        <f t="shared" si="20"/>
        <v>MN_BIG STONE</v>
      </c>
    </row>
    <row r="1318" spans="17:19" x14ac:dyDescent="0.2">
      <c r="Q1318" s="31" t="s">
        <v>1109</v>
      </c>
      <c r="R1318" s="72" t="s">
        <v>83</v>
      </c>
      <c r="S1318" s="75" t="str">
        <f t="shared" si="20"/>
        <v>MN_BLUE EARTH</v>
      </c>
    </row>
    <row r="1319" spans="17:19" x14ac:dyDescent="0.2">
      <c r="Q1319" s="30" t="s">
        <v>681</v>
      </c>
      <c r="R1319" s="71" t="s">
        <v>83</v>
      </c>
      <c r="S1319" s="75" t="str">
        <f t="shared" si="20"/>
        <v>MN_BROWN</v>
      </c>
    </row>
    <row r="1320" spans="17:19" x14ac:dyDescent="0.2">
      <c r="Q1320" s="31" t="s">
        <v>1110</v>
      </c>
      <c r="R1320" s="72" t="s">
        <v>83</v>
      </c>
      <c r="S1320" s="75" t="str">
        <f t="shared" si="20"/>
        <v>MN_CARLTON</v>
      </c>
    </row>
    <row r="1321" spans="17:19" x14ac:dyDescent="0.2">
      <c r="Q1321" s="30" t="s">
        <v>1111</v>
      </c>
      <c r="R1321" s="71" t="s">
        <v>83</v>
      </c>
      <c r="S1321" s="75" t="str">
        <f t="shared" si="20"/>
        <v>MN_CARVER</v>
      </c>
    </row>
    <row r="1322" spans="17:19" x14ac:dyDescent="0.2">
      <c r="Q1322" s="31" t="s">
        <v>683</v>
      </c>
      <c r="R1322" s="72" t="s">
        <v>83</v>
      </c>
      <c r="S1322" s="75" t="str">
        <f t="shared" si="20"/>
        <v>MN_CASS</v>
      </c>
    </row>
    <row r="1323" spans="17:19" x14ac:dyDescent="0.2">
      <c r="Q1323" s="30" t="s">
        <v>1054</v>
      </c>
      <c r="R1323" s="71" t="s">
        <v>83</v>
      </c>
      <c r="S1323" s="75" t="str">
        <f t="shared" si="20"/>
        <v>MN_CHIPPEWA</v>
      </c>
    </row>
    <row r="1324" spans="17:19" x14ac:dyDescent="0.2">
      <c r="Q1324" s="31" t="s">
        <v>1112</v>
      </c>
      <c r="R1324" s="72" t="s">
        <v>83</v>
      </c>
      <c r="S1324" s="75" t="str">
        <f t="shared" si="20"/>
        <v>MN_CHISAGO</v>
      </c>
    </row>
    <row r="1325" spans="17:19" x14ac:dyDescent="0.2">
      <c r="Q1325" s="30" t="s">
        <v>210</v>
      </c>
      <c r="R1325" s="71" t="s">
        <v>83</v>
      </c>
      <c r="S1325" s="75" t="str">
        <f t="shared" si="20"/>
        <v>MN_CLAY</v>
      </c>
    </row>
    <row r="1326" spans="17:19" x14ac:dyDescent="0.2">
      <c r="Q1326" s="31" t="s">
        <v>660</v>
      </c>
      <c r="R1326" s="72" t="s">
        <v>83</v>
      </c>
      <c r="S1326" s="75" t="str">
        <f t="shared" si="20"/>
        <v>MN_CLEARWATER</v>
      </c>
    </row>
    <row r="1327" spans="17:19" x14ac:dyDescent="0.2">
      <c r="Q1327" s="30" t="s">
        <v>559</v>
      </c>
      <c r="R1327" s="71" t="s">
        <v>83</v>
      </c>
      <c r="S1327" s="75" t="str">
        <f t="shared" si="20"/>
        <v>MN_COOK</v>
      </c>
    </row>
    <row r="1328" spans="17:19" x14ac:dyDescent="0.2">
      <c r="Q1328" s="31" t="s">
        <v>1113</v>
      </c>
      <c r="R1328" s="72" t="s">
        <v>83</v>
      </c>
      <c r="S1328" s="75" t="str">
        <f t="shared" si="20"/>
        <v>MN_COTTONWOOD</v>
      </c>
    </row>
    <row r="1329" spans="17:19" x14ac:dyDescent="0.2">
      <c r="Q1329" s="30" t="s">
        <v>1114</v>
      </c>
      <c r="R1329" s="71" t="s">
        <v>83</v>
      </c>
      <c r="S1329" s="75" t="str">
        <f t="shared" si="20"/>
        <v>MN_CROW WING</v>
      </c>
    </row>
    <row r="1330" spans="17:19" x14ac:dyDescent="0.2">
      <c r="Q1330" s="31" t="s">
        <v>1115</v>
      </c>
      <c r="R1330" s="72" t="s">
        <v>83</v>
      </c>
      <c r="S1330" s="75" t="str">
        <f t="shared" si="20"/>
        <v>MN_DAKOTA</v>
      </c>
    </row>
    <row r="1331" spans="17:19" x14ac:dyDescent="0.2">
      <c r="Q1331" s="30" t="s">
        <v>565</v>
      </c>
      <c r="R1331" s="71" t="s">
        <v>83</v>
      </c>
      <c r="S1331" s="75" t="str">
        <f t="shared" si="20"/>
        <v>MN_DODGE</v>
      </c>
    </row>
    <row r="1332" spans="17:19" x14ac:dyDescent="0.2">
      <c r="Q1332" s="31" t="s">
        <v>434</v>
      </c>
      <c r="R1332" s="72" t="s">
        <v>83</v>
      </c>
      <c r="S1332" s="75" t="str">
        <f t="shared" si="20"/>
        <v>MN_DOUGLAS</v>
      </c>
    </row>
    <row r="1333" spans="17:19" x14ac:dyDescent="0.2">
      <c r="Q1333" s="30" t="s">
        <v>1116</v>
      </c>
      <c r="R1333" s="71" t="s">
        <v>83</v>
      </c>
      <c r="S1333" s="75" t="str">
        <f t="shared" si="20"/>
        <v>MN_FARIBAULT</v>
      </c>
    </row>
    <row r="1334" spans="17:19" x14ac:dyDescent="0.2">
      <c r="Q1334" s="31" t="s">
        <v>1117</v>
      </c>
      <c r="R1334" s="72" t="s">
        <v>83</v>
      </c>
      <c r="S1334" s="75" t="str">
        <f t="shared" si="20"/>
        <v>MN_FILLMORE</v>
      </c>
    </row>
    <row r="1335" spans="17:19" x14ac:dyDescent="0.2">
      <c r="Q1335" s="30" t="s">
        <v>1118</v>
      </c>
      <c r="R1335" s="71" t="s">
        <v>83</v>
      </c>
      <c r="S1335" s="75" t="str">
        <f t="shared" si="20"/>
        <v>MN_FREEBORN</v>
      </c>
    </row>
    <row r="1336" spans="17:19" x14ac:dyDescent="0.2">
      <c r="Q1336" s="31" t="s">
        <v>1119</v>
      </c>
      <c r="R1336" s="72" t="s">
        <v>83</v>
      </c>
      <c r="S1336" s="75" t="str">
        <f t="shared" si="20"/>
        <v>MN_GOODHUE</v>
      </c>
    </row>
    <row r="1337" spans="17:19" x14ac:dyDescent="0.2">
      <c r="Q1337" s="30" t="s">
        <v>325</v>
      </c>
      <c r="R1337" s="71" t="s">
        <v>83</v>
      </c>
      <c r="S1337" s="75" t="str">
        <f t="shared" si="20"/>
        <v>MN_GRANT</v>
      </c>
    </row>
    <row r="1338" spans="17:19" x14ac:dyDescent="0.2">
      <c r="Q1338" s="31" t="s">
        <v>1120</v>
      </c>
      <c r="R1338" s="72" t="s">
        <v>83</v>
      </c>
      <c r="S1338" s="75" t="str">
        <f t="shared" si="20"/>
        <v>MN_HENNEPIN</v>
      </c>
    </row>
    <row r="1339" spans="17:19" x14ac:dyDescent="0.2">
      <c r="Q1339" s="30" t="s">
        <v>231</v>
      </c>
      <c r="R1339" s="71" t="s">
        <v>83</v>
      </c>
      <c r="S1339" s="75" t="str">
        <f t="shared" si="20"/>
        <v>MN_HOUSTON</v>
      </c>
    </row>
    <row r="1340" spans="17:19" x14ac:dyDescent="0.2">
      <c r="Q1340" s="31" t="s">
        <v>1121</v>
      </c>
      <c r="R1340" s="72" t="s">
        <v>83</v>
      </c>
      <c r="S1340" s="75" t="str">
        <f t="shared" si="20"/>
        <v>MN_HUBBARD</v>
      </c>
    </row>
    <row r="1341" spans="17:19" x14ac:dyDescent="0.2">
      <c r="Q1341" s="30" t="s">
        <v>1122</v>
      </c>
      <c r="R1341" s="71" t="s">
        <v>83</v>
      </c>
      <c r="S1341" s="75" t="str">
        <f t="shared" si="20"/>
        <v>MN_ISANTI</v>
      </c>
    </row>
    <row r="1342" spans="17:19" x14ac:dyDescent="0.2">
      <c r="Q1342" s="31" t="s">
        <v>1123</v>
      </c>
      <c r="R1342" s="72" t="s">
        <v>83</v>
      </c>
      <c r="S1342" s="75" t="str">
        <f t="shared" si="20"/>
        <v>MN_ITASCA</v>
      </c>
    </row>
    <row r="1343" spans="17:19" x14ac:dyDescent="0.2">
      <c r="Q1343" s="30" t="s">
        <v>232</v>
      </c>
      <c r="R1343" s="71" t="s">
        <v>83</v>
      </c>
      <c r="S1343" s="75" t="str">
        <f t="shared" si="20"/>
        <v>MN_JACKSON</v>
      </c>
    </row>
    <row r="1344" spans="17:19" x14ac:dyDescent="0.2">
      <c r="Q1344" s="31" t="s">
        <v>1124</v>
      </c>
      <c r="R1344" s="72" t="s">
        <v>83</v>
      </c>
      <c r="S1344" s="75" t="str">
        <f t="shared" si="20"/>
        <v>MN_KANABEC</v>
      </c>
    </row>
    <row r="1345" spans="17:19" x14ac:dyDescent="0.2">
      <c r="Q1345" s="30" t="s">
        <v>1125</v>
      </c>
      <c r="R1345" s="71" t="s">
        <v>83</v>
      </c>
      <c r="S1345" s="75" t="str">
        <f t="shared" si="20"/>
        <v>MN_KANDIYOHI</v>
      </c>
    </row>
    <row r="1346" spans="17:19" x14ac:dyDescent="0.2">
      <c r="Q1346" s="31" t="s">
        <v>1126</v>
      </c>
      <c r="R1346" s="72" t="s">
        <v>83</v>
      </c>
      <c r="S1346" s="75" t="str">
        <f t="shared" si="20"/>
        <v>MN_KITTSON</v>
      </c>
    </row>
    <row r="1347" spans="17:19" x14ac:dyDescent="0.2">
      <c r="Q1347" s="30" t="s">
        <v>1127</v>
      </c>
      <c r="R1347" s="71" t="s">
        <v>83</v>
      </c>
      <c r="S1347" s="75" t="str">
        <f t="shared" si="20"/>
        <v>MN_KOOCHICHING</v>
      </c>
    </row>
    <row r="1348" spans="17:19" x14ac:dyDescent="0.2">
      <c r="Q1348" s="31" t="s">
        <v>1128</v>
      </c>
      <c r="R1348" s="72" t="s">
        <v>83</v>
      </c>
      <c r="S1348" s="75" t="str">
        <f t="shared" ref="S1348:S1411" si="21">UPPER(CONCATENATE(TRIM(R1348),"_",TRIM(Q1348)))</f>
        <v>MN_LAC QUI PARLE</v>
      </c>
    </row>
    <row r="1349" spans="17:19" x14ac:dyDescent="0.2">
      <c r="Q1349" s="30" t="s">
        <v>377</v>
      </c>
      <c r="R1349" s="71" t="s">
        <v>83</v>
      </c>
      <c r="S1349" s="75" t="str">
        <f t="shared" si="21"/>
        <v>MN_LAKE</v>
      </c>
    </row>
    <row r="1350" spans="17:19" x14ac:dyDescent="0.2">
      <c r="Q1350" s="31" t="s">
        <v>1129</v>
      </c>
      <c r="R1350" s="72" t="s">
        <v>83</v>
      </c>
      <c r="S1350" s="75" t="str">
        <f t="shared" si="21"/>
        <v>MN_LAKE OF THE WOODS</v>
      </c>
    </row>
    <row r="1351" spans="17:19" x14ac:dyDescent="0.2">
      <c r="Q1351" s="30" t="s">
        <v>1130</v>
      </c>
      <c r="R1351" s="71" t="s">
        <v>83</v>
      </c>
      <c r="S1351" s="75" t="str">
        <f t="shared" si="21"/>
        <v>MN_LE SUEUR</v>
      </c>
    </row>
    <row r="1352" spans="17:19" x14ac:dyDescent="0.2">
      <c r="Q1352" s="31" t="s">
        <v>333</v>
      </c>
      <c r="R1352" s="72" t="s">
        <v>83</v>
      </c>
      <c r="S1352" s="75" t="str">
        <f t="shared" si="21"/>
        <v>MN_LINCOLN</v>
      </c>
    </row>
    <row r="1353" spans="17:19" x14ac:dyDescent="0.2">
      <c r="Q1353" s="30" t="s">
        <v>798</v>
      </c>
      <c r="R1353" s="71" t="s">
        <v>83</v>
      </c>
      <c r="S1353" s="75" t="str">
        <f t="shared" si="21"/>
        <v>MN_LYON</v>
      </c>
    </row>
    <row r="1354" spans="17:19" x14ac:dyDescent="0.2">
      <c r="Q1354" s="31" t="s">
        <v>1131</v>
      </c>
      <c r="R1354" s="72" t="s">
        <v>83</v>
      </c>
      <c r="S1354" s="75" t="str">
        <f t="shared" si="21"/>
        <v>MN_MCLEOD</v>
      </c>
    </row>
    <row r="1355" spans="17:19" x14ac:dyDescent="0.2">
      <c r="Q1355" s="30" t="s">
        <v>1132</v>
      </c>
      <c r="R1355" s="71" t="s">
        <v>83</v>
      </c>
      <c r="S1355" s="75" t="str">
        <f t="shared" si="21"/>
        <v>MN_MAHNOMEN</v>
      </c>
    </row>
    <row r="1356" spans="17:19" x14ac:dyDescent="0.2">
      <c r="Q1356" s="31" t="s">
        <v>244</v>
      </c>
      <c r="R1356" s="72" t="s">
        <v>83</v>
      </c>
      <c r="S1356" s="75" t="str">
        <f t="shared" si="21"/>
        <v>MN_MARSHALL</v>
      </c>
    </row>
    <row r="1357" spans="17:19" x14ac:dyDescent="0.2">
      <c r="Q1357" s="30" t="s">
        <v>514</v>
      </c>
      <c r="R1357" s="71" t="s">
        <v>83</v>
      </c>
      <c r="S1357" s="75" t="str">
        <f t="shared" si="21"/>
        <v>MN_MARTIN</v>
      </c>
    </row>
    <row r="1358" spans="17:19" x14ac:dyDescent="0.2">
      <c r="Q1358" s="31" t="s">
        <v>1133</v>
      </c>
      <c r="R1358" s="72" t="s">
        <v>83</v>
      </c>
      <c r="S1358" s="75" t="str">
        <f t="shared" si="21"/>
        <v>MN_MEEKER</v>
      </c>
    </row>
    <row r="1359" spans="17:19" x14ac:dyDescent="0.2">
      <c r="Q1359" s="30" t="s">
        <v>1134</v>
      </c>
      <c r="R1359" s="71" t="s">
        <v>83</v>
      </c>
      <c r="S1359" s="75" t="str">
        <f t="shared" si="21"/>
        <v>MN_MILLE LACS</v>
      </c>
    </row>
    <row r="1360" spans="17:19" x14ac:dyDescent="0.2">
      <c r="Q1360" s="31" t="s">
        <v>1135</v>
      </c>
      <c r="R1360" s="72" t="s">
        <v>83</v>
      </c>
      <c r="S1360" s="75" t="str">
        <f t="shared" si="21"/>
        <v>MN_MORRISON</v>
      </c>
    </row>
    <row r="1361" spans="17:19" x14ac:dyDescent="0.2">
      <c r="Q1361" s="30" t="s">
        <v>1136</v>
      </c>
      <c r="R1361" s="71" t="s">
        <v>83</v>
      </c>
      <c r="S1361" s="75" t="str">
        <f t="shared" si="21"/>
        <v>MN_MOWER</v>
      </c>
    </row>
    <row r="1362" spans="17:19" x14ac:dyDescent="0.2">
      <c r="Q1362" s="31" t="s">
        <v>602</v>
      </c>
      <c r="R1362" s="72" t="s">
        <v>83</v>
      </c>
      <c r="S1362" s="75" t="str">
        <f t="shared" si="21"/>
        <v>MN_MURRAY</v>
      </c>
    </row>
    <row r="1363" spans="17:19" x14ac:dyDescent="0.2">
      <c r="Q1363" s="30" t="s">
        <v>1137</v>
      </c>
      <c r="R1363" s="71" t="s">
        <v>83</v>
      </c>
      <c r="S1363" s="75" t="str">
        <f t="shared" si="21"/>
        <v>MN_NICOLLET</v>
      </c>
    </row>
    <row r="1364" spans="17:19" x14ac:dyDescent="0.2">
      <c r="Q1364" s="31" t="s">
        <v>1138</v>
      </c>
      <c r="R1364" s="72" t="s">
        <v>83</v>
      </c>
      <c r="S1364" s="75" t="str">
        <f t="shared" si="21"/>
        <v>MN_NOBLES</v>
      </c>
    </row>
    <row r="1365" spans="17:19" x14ac:dyDescent="0.2">
      <c r="Q1365" s="30" t="s">
        <v>1139</v>
      </c>
      <c r="R1365" s="71" t="s">
        <v>83</v>
      </c>
      <c r="S1365" s="75" t="str">
        <f t="shared" si="21"/>
        <v>MN_NORMAN</v>
      </c>
    </row>
    <row r="1366" spans="17:19" x14ac:dyDescent="0.2">
      <c r="Q1366" s="31" t="s">
        <v>1140</v>
      </c>
      <c r="R1366" s="72" t="s">
        <v>83</v>
      </c>
      <c r="S1366" s="75" t="str">
        <f t="shared" si="21"/>
        <v>MN_OLMSTED</v>
      </c>
    </row>
    <row r="1367" spans="17:19" x14ac:dyDescent="0.2">
      <c r="Q1367" s="30" t="s">
        <v>1141</v>
      </c>
      <c r="R1367" s="71" t="s">
        <v>83</v>
      </c>
      <c r="S1367" s="75" t="str">
        <f t="shared" si="21"/>
        <v>MN_OTTER TAIL</v>
      </c>
    </row>
    <row r="1368" spans="17:19" x14ac:dyDescent="0.2">
      <c r="Q1368" s="31" t="s">
        <v>1142</v>
      </c>
      <c r="R1368" s="72" t="s">
        <v>83</v>
      </c>
      <c r="S1368" s="75" t="str">
        <f t="shared" si="21"/>
        <v>MN_PENNINGTON</v>
      </c>
    </row>
    <row r="1369" spans="17:19" x14ac:dyDescent="0.2">
      <c r="Q1369" s="30" t="s">
        <v>1143</v>
      </c>
      <c r="R1369" s="71" t="s">
        <v>83</v>
      </c>
      <c r="S1369" s="75" t="str">
        <f t="shared" si="21"/>
        <v>MN_PINE</v>
      </c>
    </row>
    <row r="1370" spans="17:19" x14ac:dyDescent="0.2">
      <c r="Q1370" s="31" t="s">
        <v>1144</v>
      </c>
      <c r="R1370" s="72" t="s">
        <v>83</v>
      </c>
      <c r="S1370" s="75" t="str">
        <f t="shared" si="21"/>
        <v>MN_PIPESTONE</v>
      </c>
    </row>
    <row r="1371" spans="17:19" x14ac:dyDescent="0.2">
      <c r="Q1371" s="30" t="s">
        <v>344</v>
      </c>
      <c r="R1371" s="71" t="s">
        <v>83</v>
      </c>
      <c r="S1371" s="75" t="str">
        <f t="shared" si="21"/>
        <v>MN_POLK</v>
      </c>
    </row>
    <row r="1372" spans="17:19" x14ac:dyDescent="0.2">
      <c r="Q1372" s="31" t="s">
        <v>345</v>
      </c>
      <c r="R1372" s="72" t="s">
        <v>83</v>
      </c>
      <c r="S1372" s="75" t="str">
        <f t="shared" si="21"/>
        <v>MN_POPE</v>
      </c>
    </row>
    <row r="1373" spans="17:19" x14ac:dyDescent="0.2">
      <c r="Q1373" s="30" t="s">
        <v>1145</v>
      </c>
      <c r="R1373" s="71" t="s">
        <v>83</v>
      </c>
      <c r="S1373" s="75" t="str">
        <f t="shared" si="21"/>
        <v>MN_RAMSEY</v>
      </c>
    </row>
    <row r="1374" spans="17:19" x14ac:dyDescent="0.2">
      <c r="Q1374" s="31" t="s">
        <v>1146</v>
      </c>
      <c r="R1374" s="72" t="s">
        <v>83</v>
      </c>
      <c r="S1374" s="75" t="str">
        <f t="shared" si="21"/>
        <v>MN_RED LAKE</v>
      </c>
    </row>
    <row r="1375" spans="17:19" x14ac:dyDescent="0.2">
      <c r="Q1375" s="30" t="s">
        <v>1147</v>
      </c>
      <c r="R1375" s="71" t="s">
        <v>83</v>
      </c>
      <c r="S1375" s="75" t="str">
        <f t="shared" si="21"/>
        <v>MN_REDWOOD</v>
      </c>
    </row>
    <row r="1376" spans="17:19" x14ac:dyDescent="0.2">
      <c r="Q1376" s="31" t="s">
        <v>1148</v>
      </c>
      <c r="R1376" s="72" t="s">
        <v>83</v>
      </c>
      <c r="S1376" s="75" t="str">
        <f t="shared" si="21"/>
        <v>MN_RENVILLE</v>
      </c>
    </row>
    <row r="1377" spans="17:19" x14ac:dyDescent="0.2">
      <c r="Q1377" s="30" t="s">
        <v>867</v>
      </c>
      <c r="R1377" s="71" t="s">
        <v>83</v>
      </c>
      <c r="S1377" s="75" t="str">
        <f t="shared" si="21"/>
        <v>MN_RICE</v>
      </c>
    </row>
    <row r="1378" spans="17:19" x14ac:dyDescent="0.2">
      <c r="Q1378" s="31" t="s">
        <v>1149</v>
      </c>
      <c r="R1378" s="72" t="s">
        <v>83</v>
      </c>
      <c r="S1378" s="75" t="str">
        <f t="shared" si="21"/>
        <v>MN_ROCK</v>
      </c>
    </row>
    <row r="1379" spans="17:19" x14ac:dyDescent="0.2">
      <c r="Q1379" s="30" t="s">
        <v>1150</v>
      </c>
      <c r="R1379" s="71" t="s">
        <v>83</v>
      </c>
      <c r="S1379" s="75" t="str">
        <f t="shared" si="21"/>
        <v>MN_ROSEAU</v>
      </c>
    </row>
    <row r="1380" spans="17:19" x14ac:dyDescent="0.2">
      <c r="Q1380" s="31" t="s">
        <v>1151</v>
      </c>
      <c r="R1380" s="72" t="s">
        <v>83</v>
      </c>
      <c r="S1380" s="75" t="str">
        <f t="shared" si="21"/>
        <v>MN_ST. LOUIS</v>
      </c>
    </row>
    <row r="1381" spans="17:19" x14ac:dyDescent="0.2">
      <c r="Q1381" s="30" t="s">
        <v>350</v>
      </c>
      <c r="R1381" s="71" t="s">
        <v>83</v>
      </c>
      <c r="S1381" s="75" t="str">
        <f t="shared" si="21"/>
        <v>MN_SCOTT</v>
      </c>
    </row>
    <row r="1382" spans="17:19" x14ac:dyDescent="0.2">
      <c r="Q1382" s="31" t="s">
        <v>1152</v>
      </c>
      <c r="R1382" s="72" t="s">
        <v>83</v>
      </c>
      <c r="S1382" s="75" t="str">
        <f t="shared" si="21"/>
        <v>MN_SHERBURNE</v>
      </c>
    </row>
    <row r="1383" spans="17:19" x14ac:dyDescent="0.2">
      <c r="Q1383" s="30" t="s">
        <v>1153</v>
      </c>
      <c r="R1383" s="71" t="s">
        <v>83</v>
      </c>
      <c r="S1383" s="75" t="str">
        <f t="shared" si="21"/>
        <v>MN_SIBLEY</v>
      </c>
    </row>
    <row r="1384" spans="17:19" x14ac:dyDescent="0.2">
      <c r="Q1384" s="31" t="s">
        <v>1154</v>
      </c>
      <c r="R1384" s="72" t="s">
        <v>83</v>
      </c>
      <c r="S1384" s="75" t="str">
        <f t="shared" si="21"/>
        <v>MN_STEARNS</v>
      </c>
    </row>
    <row r="1385" spans="17:19" x14ac:dyDescent="0.2">
      <c r="Q1385" s="30" t="s">
        <v>1155</v>
      </c>
      <c r="R1385" s="71" t="s">
        <v>83</v>
      </c>
      <c r="S1385" s="75" t="str">
        <f t="shared" si="21"/>
        <v>MN_STEELE</v>
      </c>
    </row>
    <row r="1386" spans="17:19" x14ac:dyDescent="0.2">
      <c r="Q1386" s="31" t="s">
        <v>877</v>
      </c>
      <c r="R1386" s="72" t="s">
        <v>83</v>
      </c>
      <c r="S1386" s="75" t="str">
        <f t="shared" si="21"/>
        <v>MN_STEVENS</v>
      </c>
    </row>
    <row r="1387" spans="17:19" x14ac:dyDescent="0.2">
      <c r="Q1387" s="30" t="s">
        <v>1156</v>
      </c>
      <c r="R1387" s="71" t="s">
        <v>83</v>
      </c>
      <c r="S1387" s="75" t="str">
        <f t="shared" si="21"/>
        <v>MN_SWIFT</v>
      </c>
    </row>
    <row r="1388" spans="17:19" x14ac:dyDescent="0.2">
      <c r="Q1388" s="31" t="s">
        <v>937</v>
      </c>
      <c r="R1388" s="72" t="s">
        <v>83</v>
      </c>
      <c r="S1388" s="75" t="str">
        <f t="shared" si="21"/>
        <v>MN_TODD</v>
      </c>
    </row>
    <row r="1389" spans="17:19" x14ac:dyDescent="0.2">
      <c r="Q1389" s="30" t="s">
        <v>1157</v>
      </c>
      <c r="R1389" s="71" t="s">
        <v>83</v>
      </c>
      <c r="S1389" s="75" t="str">
        <f t="shared" si="21"/>
        <v>MN_TRAVERSE</v>
      </c>
    </row>
    <row r="1390" spans="17:19" x14ac:dyDescent="0.2">
      <c r="Q1390" s="31" t="s">
        <v>1158</v>
      </c>
      <c r="R1390" s="72" t="s">
        <v>83</v>
      </c>
      <c r="S1390" s="75" t="str">
        <f t="shared" si="21"/>
        <v>MN_WABASHA</v>
      </c>
    </row>
    <row r="1391" spans="17:19" x14ac:dyDescent="0.2">
      <c r="Q1391" s="30" t="s">
        <v>1159</v>
      </c>
      <c r="R1391" s="71" t="s">
        <v>83</v>
      </c>
      <c r="S1391" s="75" t="str">
        <f t="shared" si="21"/>
        <v>MN_WADENA</v>
      </c>
    </row>
    <row r="1392" spans="17:19" x14ac:dyDescent="0.2">
      <c r="Q1392" s="31" t="s">
        <v>1160</v>
      </c>
      <c r="R1392" s="72" t="s">
        <v>83</v>
      </c>
      <c r="S1392" s="75" t="str">
        <f t="shared" si="21"/>
        <v>MN_WASECA</v>
      </c>
    </row>
    <row r="1393" spans="17:19" x14ac:dyDescent="0.2">
      <c r="Q1393" s="30" t="s">
        <v>261</v>
      </c>
      <c r="R1393" s="71" t="s">
        <v>83</v>
      </c>
      <c r="S1393" s="75" t="str">
        <f t="shared" si="21"/>
        <v>MN_WASHINGTON</v>
      </c>
    </row>
    <row r="1394" spans="17:19" x14ac:dyDescent="0.2">
      <c r="Q1394" s="31" t="s">
        <v>1161</v>
      </c>
      <c r="R1394" s="72" t="s">
        <v>83</v>
      </c>
      <c r="S1394" s="75" t="str">
        <f t="shared" si="21"/>
        <v>MN_WATONWAN</v>
      </c>
    </row>
    <row r="1395" spans="17:19" x14ac:dyDescent="0.2">
      <c r="Q1395" s="30" t="s">
        <v>1162</v>
      </c>
      <c r="R1395" s="71" t="s">
        <v>83</v>
      </c>
      <c r="S1395" s="75" t="str">
        <f t="shared" si="21"/>
        <v>MN_WILKIN</v>
      </c>
    </row>
    <row r="1396" spans="17:19" x14ac:dyDescent="0.2">
      <c r="Q1396" s="31" t="s">
        <v>1163</v>
      </c>
      <c r="R1396" s="72" t="s">
        <v>83</v>
      </c>
      <c r="S1396" s="75" t="str">
        <f t="shared" si="21"/>
        <v>MN_WINONA</v>
      </c>
    </row>
    <row r="1397" spans="17:19" x14ac:dyDescent="0.2">
      <c r="Q1397" s="30" t="s">
        <v>818</v>
      </c>
      <c r="R1397" s="71" t="s">
        <v>83</v>
      </c>
      <c r="S1397" s="75" t="str">
        <f t="shared" si="21"/>
        <v>MN_WRIGHT</v>
      </c>
    </row>
    <row r="1398" spans="17:19" x14ac:dyDescent="0.2">
      <c r="Q1398" s="31" t="s">
        <v>1164</v>
      </c>
      <c r="R1398" s="72" t="s">
        <v>83</v>
      </c>
      <c r="S1398" s="75" t="str">
        <f t="shared" si="21"/>
        <v>MN_YELLOW MEDICINE</v>
      </c>
    </row>
    <row r="1399" spans="17:19" x14ac:dyDescent="0.2">
      <c r="Q1399" s="30" t="s">
        <v>417</v>
      </c>
      <c r="R1399" s="71" t="s">
        <v>82</v>
      </c>
      <c r="S1399" s="75" t="str">
        <f t="shared" si="21"/>
        <v>MS_ADAMS</v>
      </c>
    </row>
    <row r="1400" spans="17:19" x14ac:dyDescent="0.2">
      <c r="Q1400" s="31" t="s">
        <v>1165</v>
      </c>
      <c r="R1400" s="72" t="s">
        <v>82</v>
      </c>
      <c r="S1400" s="75" t="str">
        <f t="shared" si="21"/>
        <v>MS_ALCORN</v>
      </c>
    </row>
    <row r="1401" spans="17:19" x14ac:dyDescent="0.2">
      <c r="Q1401" s="30" t="s">
        <v>1166</v>
      </c>
      <c r="R1401" s="71" t="s">
        <v>82</v>
      </c>
      <c r="S1401" s="75" t="str">
        <f t="shared" si="21"/>
        <v>MS_AMITE</v>
      </c>
    </row>
    <row r="1402" spans="17:19" x14ac:dyDescent="0.2">
      <c r="Q1402" s="31" t="s">
        <v>1167</v>
      </c>
      <c r="R1402" s="72" t="s">
        <v>82</v>
      </c>
      <c r="S1402" s="75" t="str">
        <f t="shared" si="21"/>
        <v>MS_ATTALA</v>
      </c>
    </row>
    <row r="1403" spans="17:19" x14ac:dyDescent="0.2">
      <c r="Q1403" s="30" t="s">
        <v>307</v>
      </c>
      <c r="R1403" s="71" t="s">
        <v>82</v>
      </c>
      <c r="S1403" s="75" t="str">
        <f t="shared" si="21"/>
        <v>MS_BENTON</v>
      </c>
    </row>
    <row r="1404" spans="17:19" x14ac:dyDescent="0.2">
      <c r="Q1404" s="31" t="s">
        <v>1168</v>
      </c>
      <c r="R1404" s="72" t="s">
        <v>82</v>
      </c>
      <c r="S1404" s="75" t="str">
        <f t="shared" si="21"/>
        <v>MS_BOLIVAR</v>
      </c>
    </row>
    <row r="1405" spans="17:19" x14ac:dyDescent="0.2">
      <c r="Q1405" s="30" t="s">
        <v>204</v>
      </c>
      <c r="R1405" s="71" t="s">
        <v>82</v>
      </c>
      <c r="S1405" s="75" t="str">
        <f t="shared" si="21"/>
        <v>MS_CALHOUN</v>
      </c>
    </row>
    <row r="1406" spans="17:19" x14ac:dyDescent="0.2">
      <c r="Q1406" s="31" t="s">
        <v>310</v>
      </c>
      <c r="R1406" s="72" t="s">
        <v>82</v>
      </c>
      <c r="S1406" s="75" t="str">
        <f t="shared" si="21"/>
        <v>MS_CARROLL</v>
      </c>
    </row>
    <row r="1407" spans="17:19" x14ac:dyDescent="0.2">
      <c r="Q1407" s="30" t="s">
        <v>784</v>
      </c>
      <c r="R1407" s="71" t="s">
        <v>82</v>
      </c>
      <c r="S1407" s="75" t="str">
        <f t="shared" si="21"/>
        <v>MS_CHICKASAW</v>
      </c>
    </row>
    <row r="1408" spans="17:19" x14ac:dyDescent="0.2">
      <c r="Q1408" s="31" t="s">
        <v>208</v>
      </c>
      <c r="R1408" s="72" t="s">
        <v>82</v>
      </c>
      <c r="S1408" s="75" t="str">
        <f t="shared" si="21"/>
        <v>MS_CHOCTAW</v>
      </c>
    </row>
    <row r="1409" spans="17:19" x14ac:dyDescent="0.2">
      <c r="Q1409" s="30" t="s">
        <v>1169</v>
      </c>
      <c r="R1409" s="71" t="s">
        <v>82</v>
      </c>
      <c r="S1409" s="75" t="str">
        <f t="shared" si="21"/>
        <v>MS_CLAIBORNE</v>
      </c>
    </row>
    <row r="1410" spans="17:19" x14ac:dyDescent="0.2">
      <c r="Q1410" s="31" t="s">
        <v>209</v>
      </c>
      <c r="R1410" s="72" t="s">
        <v>82</v>
      </c>
      <c r="S1410" s="75" t="str">
        <f t="shared" si="21"/>
        <v>MS_CLARKE</v>
      </c>
    </row>
    <row r="1411" spans="17:19" x14ac:dyDescent="0.2">
      <c r="Q1411" s="30" t="s">
        <v>210</v>
      </c>
      <c r="R1411" s="71" t="s">
        <v>82</v>
      </c>
      <c r="S1411" s="75" t="str">
        <f t="shared" si="21"/>
        <v>MS_CLAY</v>
      </c>
    </row>
    <row r="1412" spans="17:19" x14ac:dyDescent="0.2">
      <c r="Q1412" s="31" t="s">
        <v>1170</v>
      </c>
      <c r="R1412" s="72" t="s">
        <v>82</v>
      </c>
      <c r="S1412" s="75" t="str">
        <f t="shared" ref="S1412:S1475" si="22">UPPER(CONCATENATE(TRIM(R1412),"_",TRIM(Q1412)))</f>
        <v>MS_COAHOMA</v>
      </c>
    </row>
    <row r="1413" spans="17:19" x14ac:dyDescent="0.2">
      <c r="Q1413" s="30" t="s">
        <v>1171</v>
      </c>
      <c r="R1413" s="71" t="s">
        <v>82</v>
      </c>
      <c r="S1413" s="75" t="str">
        <f t="shared" si="22"/>
        <v>MS_COPIAH</v>
      </c>
    </row>
    <row r="1414" spans="17:19" x14ac:dyDescent="0.2">
      <c r="Q1414" s="31" t="s">
        <v>216</v>
      </c>
      <c r="R1414" s="72" t="s">
        <v>82</v>
      </c>
      <c r="S1414" s="75" t="str">
        <f t="shared" si="22"/>
        <v>MS_COVINGTON</v>
      </c>
    </row>
    <row r="1415" spans="17:19" x14ac:dyDescent="0.2">
      <c r="Q1415" s="30" t="s">
        <v>1172</v>
      </c>
      <c r="R1415" s="71" t="s">
        <v>82</v>
      </c>
      <c r="S1415" s="75" t="str">
        <f t="shared" si="22"/>
        <v>MS_DE SOTO</v>
      </c>
    </row>
    <row r="1416" spans="17:19" x14ac:dyDescent="0.2">
      <c r="Q1416" s="31" t="s">
        <v>1173</v>
      </c>
      <c r="R1416" s="72" t="s">
        <v>82</v>
      </c>
      <c r="S1416" s="75" t="str">
        <f t="shared" si="22"/>
        <v>MS_FORREST</v>
      </c>
    </row>
    <row r="1417" spans="17:19" x14ac:dyDescent="0.2">
      <c r="Q1417" s="30" t="s">
        <v>226</v>
      </c>
      <c r="R1417" s="71" t="s">
        <v>82</v>
      </c>
      <c r="S1417" s="75" t="str">
        <f t="shared" si="22"/>
        <v>MS_FRANKLIN</v>
      </c>
    </row>
    <row r="1418" spans="17:19" x14ac:dyDescent="0.2">
      <c r="Q1418" s="31" t="s">
        <v>1174</v>
      </c>
      <c r="R1418" s="72" t="s">
        <v>82</v>
      </c>
      <c r="S1418" s="75" t="str">
        <f t="shared" si="22"/>
        <v>MS_GEORGE</v>
      </c>
    </row>
    <row r="1419" spans="17:19" x14ac:dyDescent="0.2">
      <c r="Q1419" s="30" t="s">
        <v>228</v>
      </c>
      <c r="R1419" s="71" t="s">
        <v>82</v>
      </c>
      <c r="S1419" s="75" t="str">
        <f t="shared" si="22"/>
        <v>MS_GREENE</v>
      </c>
    </row>
    <row r="1420" spans="17:19" x14ac:dyDescent="0.2">
      <c r="Q1420" s="31" t="s">
        <v>1175</v>
      </c>
      <c r="R1420" s="72" t="s">
        <v>82</v>
      </c>
      <c r="S1420" s="75" t="str">
        <f t="shared" si="22"/>
        <v>MS_GRENADA</v>
      </c>
    </row>
    <row r="1421" spans="17:19" x14ac:dyDescent="0.2">
      <c r="Q1421" s="30" t="s">
        <v>584</v>
      </c>
      <c r="R1421" s="71" t="s">
        <v>82</v>
      </c>
      <c r="S1421" s="75" t="str">
        <f t="shared" si="22"/>
        <v>MS_HANCOCK</v>
      </c>
    </row>
    <row r="1422" spans="17:19" x14ac:dyDescent="0.2">
      <c r="Q1422" s="31" t="s">
        <v>743</v>
      </c>
      <c r="R1422" s="72" t="s">
        <v>82</v>
      </c>
      <c r="S1422" s="75" t="str">
        <f t="shared" si="22"/>
        <v>MS_HARRISON</v>
      </c>
    </row>
    <row r="1423" spans="17:19" x14ac:dyDescent="0.2">
      <c r="Q1423" s="30" t="s">
        <v>1176</v>
      </c>
      <c r="R1423" s="71" t="s">
        <v>82</v>
      </c>
      <c r="S1423" s="75" t="str">
        <f t="shared" si="22"/>
        <v>MS_HINDS</v>
      </c>
    </row>
    <row r="1424" spans="17:19" x14ac:dyDescent="0.2">
      <c r="Q1424" s="31" t="s">
        <v>508</v>
      </c>
      <c r="R1424" s="72" t="s">
        <v>82</v>
      </c>
      <c r="S1424" s="75" t="str">
        <f t="shared" si="22"/>
        <v>MS_HOLMES</v>
      </c>
    </row>
    <row r="1425" spans="17:19" x14ac:dyDescent="0.2">
      <c r="Q1425" s="30" t="s">
        <v>1177</v>
      </c>
      <c r="R1425" s="71" t="s">
        <v>82</v>
      </c>
      <c r="S1425" s="75" t="str">
        <f t="shared" si="22"/>
        <v>MS_HUMPHREYS</v>
      </c>
    </row>
    <row r="1426" spans="17:19" x14ac:dyDescent="0.2">
      <c r="Q1426" s="31" t="s">
        <v>1178</v>
      </c>
      <c r="R1426" s="72" t="s">
        <v>82</v>
      </c>
      <c r="S1426" s="75" t="str">
        <f t="shared" si="22"/>
        <v>MS_ISSAQUENA</v>
      </c>
    </row>
    <row r="1427" spans="17:19" x14ac:dyDescent="0.2">
      <c r="Q1427" s="30" t="s">
        <v>1179</v>
      </c>
      <c r="R1427" s="71" t="s">
        <v>82</v>
      </c>
      <c r="S1427" s="75" t="str">
        <f t="shared" si="22"/>
        <v>MS_ITAWAMBA</v>
      </c>
    </row>
    <row r="1428" spans="17:19" x14ac:dyDescent="0.2">
      <c r="Q1428" s="31" t="s">
        <v>232</v>
      </c>
      <c r="R1428" s="72" t="s">
        <v>82</v>
      </c>
      <c r="S1428" s="75" t="str">
        <f t="shared" si="22"/>
        <v>MS_JACKSON</v>
      </c>
    </row>
    <row r="1429" spans="17:19" x14ac:dyDescent="0.2">
      <c r="Q1429" s="30" t="s">
        <v>590</v>
      </c>
      <c r="R1429" s="71" t="s">
        <v>82</v>
      </c>
      <c r="S1429" s="75" t="str">
        <f t="shared" si="22"/>
        <v>MS_JASPER</v>
      </c>
    </row>
    <row r="1430" spans="17:19" x14ac:dyDescent="0.2">
      <c r="Q1430" s="31" t="s">
        <v>233</v>
      </c>
      <c r="R1430" s="72" t="s">
        <v>82</v>
      </c>
      <c r="S1430" s="75" t="str">
        <f t="shared" si="22"/>
        <v>MS_JEFFERSON</v>
      </c>
    </row>
    <row r="1431" spans="17:19" x14ac:dyDescent="0.2">
      <c r="Q1431" s="30" t="s">
        <v>1180</v>
      </c>
      <c r="R1431" s="71" t="s">
        <v>82</v>
      </c>
      <c r="S1431" s="75" t="str">
        <f t="shared" si="22"/>
        <v>MS_JEFFERSON DAVIS</v>
      </c>
    </row>
    <row r="1432" spans="17:19" x14ac:dyDescent="0.2">
      <c r="Q1432" s="31" t="s">
        <v>593</v>
      </c>
      <c r="R1432" s="72" t="s">
        <v>82</v>
      </c>
      <c r="S1432" s="75" t="str">
        <f t="shared" si="22"/>
        <v>MS_JONES</v>
      </c>
    </row>
    <row r="1433" spans="17:19" x14ac:dyDescent="0.2">
      <c r="Q1433" s="30" t="s">
        <v>1181</v>
      </c>
      <c r="R1433" s="71" t="s">
        <v>82</v>
      </c>
      <c r="S1433" s="75" t="str">
        <f t="shared" si="22"/>
        <v>MS_KEMPER</v>
      </c>
    </row>
    <row r="1434" spans="17:19" x14ac:dyDescent="0.2">
      <c r="Q1434" s="31" t="s">
        <v>332</v>
      </c>
      <c r="R1434" s="72" t="s">
        <v>82</v>
      </c>
      <c r="S1434" s="75" t="str">
        <f t="shared" si="22"/>
        <v>MS_LAFAYETTE</v>
      </c>
    </row>
    <row r="1435" spans="17:19" x14ac:dyDescent="0.2">
      <c r="Q1435" s="30" t="s">
        <v>234</v>
      </c>
      <c r="R1435" s="71" t="s">
        <v>82</v>
      </c>
      <c r="S1435" s="75" t="str">
        <f t="shared" si="22"/>
        <v>MS_LAMAR</v>
      </c>
    </row>
    <row r="1436" spans="17:19" x14ac:dyDescent="0.2">
      <c r="Q1436" s="31" t="s">
        <v>235</v>
      </c>
      <c r="R1436" s="72" t="s">
        <v>82</v>
      </c>
      <c r="S1436" s="75" t="str">
        <f t="shared" si="22"/>
        <v>MS_LAUDERDALE</v>
      </c>
    </row>
    <row r="1437" spans="17:19" x14ac:dyDescent="0.2">
      <c r="Q1437" s="30" t="s">
        <v>236</v>
      </c>
      <c r="R1437" s="71" t="s">
        <v>82</v>
      </c>
      <c r="S1437" s="75" t="str">
        <f t="shared" si="22"/>
        <v>MS_LAWRENCE</v>
      </c>
    </row>
    <row r="1438" spans="17:19" x14ac:dyDescent="0.2">
      <c r="Q1438" s="31" t="s">
        <v>1182</v>
      </c>
      <c r="R1438" s="72" t="s">
        <v>82</v>
      </c>
      <c r="S1438" s="75" t="str">
        <f t="shared" si="22"/>
        <v>MS_LEAKE</v>
      </c>
    </row>
    <row r="1439" spans="17:19" x14ac:dyDescent="0.2">
      <c r="Q1439" s="30" t="s">
        <v>237</v>
      </c>
      <c r="R1439" s="71" t="s">
        <v>82</v>
      </c>
      <c r="S1439" s="75" t="str">
        <f t="shared" si="22"/>
        <v>MS_LEE</v>
      </c>
    </row>
    <row r="1440" spans="17:19" x14ac:dyDescent="0.2">
      <c r="Q1440" s="31" t="s">
        <v>1183</v>
      </c>
      <c r="R1440" s="72" t="s">
        <v>82</v>
      </c>
      <c r="S1440" s="75" t="str">
        <f t="shared" si="22"/>
        <v>MS_LEFLORE</v>
      </c>
    </row>
    <row r="1441" spans="17:19" x14ac:dyDescent="0.2">
      <c r="Q1441" s="30" t="s">
        <v>333</v>
      </c>
      <c r="R1441" s="71" t="s">
        <v>82</v>
      </c>
      <c r="S1441" s="75" t="str">
        <f t="shared" si="22"/>
        <v>MS_LINCOLN</v>
      </c>
    </row>
    <row r="1442" spans="17:19" x14ac:dyDescent="0.2">
      <c r="Q1442" s="31" t="s">
        <v>239</v>
      </c>
      <c r="R1442" s="72" t="s">
        <v>82</v>
      </c>
      <c r="S1442" s="75" t="str">
        <f t="shared" si="22"/>
        <v>MS_LOWNDES</v>
      </c>
    </row>
    <row r="1443" spans="17:19" x14ac:dyDescent="0.2">
      <c r="Q1443" s="30" t="s">
        <v>241</v>
      </c>
      <c r="R1443" s="71" t="s">
        <v>82</v>
      </c>
      <c r="S1443" s="75" t="str">
        <f t="shared" si="22"/>
        <v>MS_MADISON</v>
      </c>
    </row>
    <row r="1444" spans="17:19" x14ac:dyDescent="0.2">
      <c r="Q1444" s="31" t="s">
        <v>243</v>
      </c>
      <c r="R1444" s="72" t="s">
        <v>82</v>
      </c>
      <c r="S1444" s="75" t="str">
        <f t="shared" si="22"/>
        <v>MS_MARION</v>
      </c>
    </row>
    <row r="1445" spans="17:19" x14ac:dyDescent="0.2">
      <c r="Q1445" s="30" t="s">
        <v>244</v>
      </c>
      <c r="R1445" s="71" t="s">
        <v>82</v>
      </c>
      <c r="S1445" s="75" t="str">
        <f t="shared" si="22"/>
        <v>MS_MARSHALL</v>
      </c>
    </row>
    <row r="1446" spans="17:19" x14ac:dyDescent="0.2">
      <c r="Q1446" s="31" t="s">
        <v>246</v>
      </c>
      <c r="R1446" s="72" t="s">
        <v>82</v>
      </c>
      <c r="S1446" s="75" t="str">
        <f t="shared" si="22"/>
        <v>MS_MONROE</v>
      </c>
    </row>
    <row r="1447" spans="17:19" x14ac:dyDescent="0.2">
      <c r="Q1447" s="30" t="s">
        <v>247</v>
      </c>
      <c r="R1447" s="71" t="s">
        <v>82</v>
      </c>
      <c r="S1447" s="75" t="str">
        <f t="shared" si="22"/>
        <v>MS_MONTGOMERY</v>
      </c>
    </row>
    <row r="1448" spans="17:19" x14ac:dyDescent="0.2">
      <c r="Q1448" s="31" t="s">
        <v>1184</v>
      </c>
      <c r="R1448" s="72" t="s">
        <v>82</v>
      </c>
      <c r="S1448" s="75" t="str">
        <f t="shared" si="22"/>
        <v>MS_NESHOBA</v>
      </c>
    </row>
    <row r="1449" spans="17:19" x14ac:dyDescent="0.2">
      <c r="Q1449" s="30" t="s">
        <v>340</v>
      </c>
      <c r="R1449" s="71" t="s">
        <v>82</v>
      </c>
      <c r="S1449" s="75" t="str">
        <f t="shared" si="22"/>
        <v>MS_NEWTON</v>
      </c>
    </row>
    <row r="1450" spans="17:19" x14ac:dyDescent="0.2">
      <c r="Q1450" s="31" t="s">
        <v>1185</v>
      </c>
      <c r="R1450" s="72" t="s">
        <v>82</v>
      </c>
      <c r="S1450" s="75" t="str">
        <f t="shared" si="22"/>
        <v>MS_NOXUBEE</v>
      </c>
    </row>
    <row r="1451" spans="17:19" x14ac:dyDescent="0.2">
      <c r="Q1451" s="30" t="s">
        <v>1186</v>
      </c>
      <c r="R1451" s="71" t="s">
        <v>82</v>
      </c>
      <c r="S1451" s="75" t="str">
        <f t="shared" si="22"/>
        <v>MS_OKTIBBEHA</v>
      </c>
    </row>
    <row r="1452" spans="17:19" x14ac:dyDescent="0.2">
      <c r="Q1452" s="31" t="s">
        <v>1187</v>
      </c>
      <c r="R1452" s="72" t="s">
        <v>82</v>
      </c>
      <c r="S1452" s="75" t="str">
        <f t="shared" si="22"/>
        <v>MS_PANOLA</v>
      </c>
    </row>
    <row r="1453" spans="17:19" x14ac:dyDescent="0.2">
      <c r="Q1453" s="30" t="s">
        <v>1188</v>
      </c>
      <c r="R1453" s="71" t="s">
        <v>82</v>
      </c>
      <c r="S1453" s="75" t="str">
        <f t="shared" si="22"/>
        <v>MS_PEARL RIVER</v>
      </c>
    </row>
    <row r="1454" spans="17:19" x14ac:dyDescent="0.2">
      <c r="Q1454" s="31" t="s">
        <v>249</v>
      </c>
      <c r="R1454" s="72" t="s">
        <v>82</v>
      </c>
      <c r="S1454" s="75" t="str">
        <f t="shared" si="22"/>
        <v>MS_PERRY</v>
      </c>
    </row>
    <row r="1455" spans="17:19" x14ac:dyDescent="0.2">
      <c r="Q1455" s="30" t="s">
        <v>251</v>
      </c>
      <c r="R1455" s="71" t="s">
        <v>82</v>
      </c>
      <c r="S1455" s="75" t="str">
        <f t="shared" si="22"/>
        <v>MS_PIKE</v>
      </c>
    </row>
    <row r="1456" spans="17:19" x14ac:dyDescent="0.2">
      <c r="Q1456" s="31" t="s">
        <v>1189</v>
      </c>
      <c r="R1456" s="72" t="s">
        <v>82</v>
      </c>
      <c r="S1456" s="75" t="str">
        <f t="shared" si="22"/>
        <v>MS_PONTOTOC</v>
      </c>
    </row>
    <row r="1457" spans="17:19" x14ac:dyDescent="0.2">
      <c r="Q1457" s="30" t="s">
        <v>1190</v>
      </c>
      <c r="R1457" s="71" t="s">
        <v>82</v>
      </c>
      <c r="S1457" s="75" t="str">
        <f t="shared" si="22"/>
        <v>MS_PRENTISS</v>
      </c>
    </row>
    <row r="1458" spans="17:19" x14ac:dyDescent="0.2">
      <c r="Q1458" s="31" t="s">
        <v>609</v>
      </c>
      <c r="R1458" s="72" t="s">
        <v>82</v>
      </c>
      <c r="S1458" s="75" t="str">
        <f t="shared" si="22"/>
        <v>MS_QUITMAN</v>
      </c>
    </row>
    <row r="1459" spans="17:19" x14ac:dyDescent="0.2">
      <c r="Q1459" s="30" t="s">
        <v>1191</v>
      </c>
      <c r="R1459" s="71" t="s">
        <v>82</v>
      </c>
      <c r="S1459" s="75" t="str">
        <f t="shared" si="22"/>
        <v>MS_RANKIN</v>
      </c>
    </row>
    <row r="1460" spans="17:19" x14ac:dyDescent="0.2">
      <c r="Q1460" s="31" t="s">
        <v>350</v>
      </c>
      <c r="R1460" s="72" t="s">
        <v>82</v>
      </c>
      <c r="S1460" s="75" t="str">
        <f t="shared" si="22"/>
        <v>MS_SCOTT</v>
      </c>
    </row>
    <row r="1461" spans="17:19" x14ac:dyDescent="0.2">
      <c r="Q1461" s="30" t="s">
        <v>1192</v>
      </c>
      <c r="R1461" s="71" t="s">
        <v>82</v>
      </c>
      <c r="S1461" s="75" t="str">
        <f t="shared" si="22"/>
        <v>MS_SHARKEY</v>
      </c>
    </row>
    <row r="1462" spans="17:19" x14ac:dyDescent="0.2">
      <c r="Q1462" s="31" t="s">
        <v>936</v>
      </c>
      <c r="R1462" s="72" t="s">
        <v>82</v>
      </c>
      <c r="S1462" s="75" t="str">
        <f t="shared" si="22"/>
        <v>MS_SIMPSON</v>
      </c>
    </row>
    <row r="1463" spans="17:19" x14ac:dyDescent="0.2">
      <c r="Q1463" s="30" t="s">
        <v>874</v>
      </c>
      <c r="R1463" s="71" t="s">
        <v>82</v>
      </c>
      <c r="S1463" s="75" t="str">
        <f t="shared" si="22"/>
        <v>MS_SMITH</v>
      </c>
    </row>
    <row r="1464" spans="17:19" x14ac:dyDescent="0.2">
      <c r="Q1464" s="31" t="s">
        <v>355</v>
      </c>
      <c r="R1464" s="72" t="s">
        <v>82</v>
      </c>
      <c r="S1464" s="75" t="str">
        <f t="shared" si="22"/>
        <v>MS_STONE</v>
      </c>
    </row>
    <row r="1465" spans="17:19" x14ac:dyDescent="0.2">
      <c r="Q1465" s="30" t="s">
        <v>1193</v>
      </c>
      <c r="R1465" s="71" t="s">
        <v>82</v>
      </c>
      <c r="S1465" s="75" t="str">
        <f t="shared" si="22"/>
        <v>MS_SUNFLOWER</v>
      </c>
    </row>
    <row r="1466" spans="17:19" x14ac:dyDescent="0.2">
      <c r="Q1466" s="31" t="s">
        <v>1194</v>
      </c>
      <c r="R1466" s="72" t="s">
        <v>82</v>
      </c>
      <c r="S1466" s="75" t="str">
        <f t="shared" si="22"/>
        <v>MS_TALLAHATCHIE</v>
      </c>
    </row>
    <row r="1467" spans="17:19" x14ac:dyDescent="0.2">
      <c r="Q1467" s="30" t="s">
        <v>1195</v>
      </c>
      <c r="R1467" s="71" t="s">
        <v>82</v>
      </c>
      <c r="S1467" s="75" t="str">
        <f t="shared" si="22"/>
        <v>MS_TATE</v>
      </c>
    </row>
    <row r="1468" spans="17:19" x14ac:dyDescent="0.2">
      <c r="Q1468" s="31" t="s">
        <v>1196</v>
      </c>
      <c r="R1468" s="72" t="s">
        <v>82</v>
      </c>
      <c r="S1468" s="75" t="str">
        <f t="shared" si="22"/>
        <v>MS_TIPPAH</v>
      </c>
    </row>
    <row r="1469" spans="17:19" x14ac:dyDescent="0.2">
      <c r="Q1469" s="30" t="s">
        <v>1197</v>
      </c>
      <c r="R1469" s="71" t="s">
        <v>82</v>
      </c>
      <c r="S1469" s="75" t="str">
        <f t="shared" si="22"/>
        <v>MS_TISHOMINGO</v>
      </c>
    </row>
    <row r="1470" spans="17:19" x14ac:dyDescent="0.2">
      <c r="Q1470" s="31" t="s">
        <v>1198</v>
      </c>
      <c r="R1470" s="72" t="s">
        <v>82</v>
      </c>
      <c r="S1470" s="75" t="str">
        <f t="shared" si="22"/>
        <v>MS_TUNICA</v>
      </c>
    </row>
    <row r="1471" spans="17:19" x14ac:dyDescent="0.2">
      <c r="Q1471" s="30" t="s">
        <v>356</v>
      </c>
      <c r="R1471" s="71" t="s">
        <v>82</v>
      </c>
      <c r="S1471" s="75" t="str">
        <f t="shared" si="22"/>
        <v>MS_UNION</v>
      </c>
    </row>
    <row r="1472" spans="17:19" x14ac:dyDescent="0.2">
      <c r="Q1472" s="31" t="s">
        <v>1199</v>
      </c>
      <c r="R1472" s="72" t="s">
        <v>82</v>
      </c>
      <c r="S1472" s="75" t="str">
        <f t="shared" si="22"/>
        <v>MS_WALTHALL</v>
      </c>
    </row>
    <row r="1473" spans="17:19" x14ac:dyDescent="0.2">
      <c r="Q1473" s="30" t="s">
        <v>633</v>
      </c>
      <c r="R1473" s="71" t="s">
        <v>82</v>
      </c>
      <c r="S1473" s="75" t="str">
        <f t="shared" si="22"/>
        <v>MS_WARREN</v>
      </c>
    </row>
    <row r="1474" spans="17:19" x14ac:dyDescent="0.2">
      <c r="Q1474" s="31" t="s">
        <v>261</v>
      </c>
      <c r="R1474" s="72" t="s">
        <v>82</v>
      </c>
      <c r="S1474" s="75" t="str">
        <f t="shared" si="22"/>
        <v>MS_WASHINGTON</v>
      </c>
    </row>
    <row r="1475" spans="17:19" x14ac:dyDescent="0.2">
      <c r="Q1475" s="30" t="s">
        <v>634</v>
      </c>
      <c r="R1475" s="71" t="s">
        <v>82</v>
      </c>
      <c r="S1475" s="75" t="str">
        <f t="shared" si="22"/>
        <v>MS_WAYNE</v>
      </c>
    </row>
    <row r="1476" spans="17:19" x14ac:dyDescent="0.2">
      <c r="Q1476" s="31" t="s">
        <v>635</v>
      </c>
      <c r="R1476" s="72" t="s">
        <v>82</v>
      </c>
      <c r="S1476" s="75" t="str">
        <f t="shared" ref="S1476:S1539" si="23">UPPER(CONCATENATE(TRIM(R1476),"_",TRIM(Q1476)))</f>
        <v>MS_WEBSTER</v>
      </c>
    </row>
    <row r="1477" spans="17:19" x14ac:dyDescent="0.2">
      <c r="Q1477" s="30" t="s">
        <v>639</v>
      </c>
      <c r="R1477" s="71" t="s">
        <v>82</v>
      </c>
      <c r="S1477" s="75" t="str">
        <f t="shared" si="23"/>
        <v>MS_WILKINSON</v>
      </c>
    </row>
    <row r="1478" spans="17:19" x14ac:dyDescent="0.2">
      <c r="Q1478" s="31" t="s">
        <v>263</v>
      </c>
      <c r="R1478" s="72" t="s">
        <v>82</v>
      </c>
      <c r="S1478" s="75" t="str">
        <f t="shared" si="23"/>
        <v>MS_WINSTON</v>
      </c>
    </row>
    <row r="1479" spans="17:19" x14ac:dyDescent="0.2">
      <c r="Q1479" s="30" t="s">
        <v>1200</v>
      </c>
      <c r="R1479" s="71" t="s">
        <v>82</v>
      </c>
      <c r="S1479" s="75" t="str">
        <f t="shared" si="23"/>
        <v>MS_YALOBUSHA</v>
      </c>
    </row>
    <row r="1480" spans="17:19" x14ac:dyDescent="0.2">
      <c r="Q1480" s="31" t="s">
        <v>1201</v>
      </c>
      <c r="R1480" s="72" t="s">
        <v>82</v>
      </c>
      <c r="S1480" s="75" t="str">
        <f t="shared" si="23"/>
        <v>MS_YAZOO</v>
      </c>
    </row>
    <row r="1481" spans="17:19" x14ac:dyDescent="0.2">
      <c r="Q1481" s="30" t="s">
        <v>774</v>
      </c>
      <c r="R1481" s="71" t="s">
        <v>81</v>
      </c>
      <c r="S1481" s="75" t="str">
        <f t="shared" si="23"/>
        <v>MO_ADAIR</v>
      </c>
    </row>
    <row r="1482" spans="17:19" x14ac:dyDescent="0.2">
      <c r="Q1482" s="31" t="s">
        <v>1202</v>
      </c>
      <c r="R1482" s="72" t="s">
        <v>81</v>
      </c>
      <c r="S1482" s="75" t="str">
        <f t="shared" si="23"/>
        <v>MO_ANDREW</v>
      </c>
    </row>
    <row r="1483" spans="17:19" x14ac:dyDescent="0.2">
      <c r="Q1483" s="30" t="s">
        <v>820</v>
      </c>
      <c r="R1483" s="71" t="s">
        <v>81</v>
      </c>
      <c r="S1483" s="75" t="str">
        <f t="shared" si="23"/>
        <v>MO_ATCHISON</v>
      </c>
    </row>
    <row r="1484" spans="17:19" x14ac:dyDescent="0.2">
      <c r="Q1484" s="31" t="s">
        <v>1203</v>
      </c>
      <c r="R1484" s="72" t="s">
        <v>81</v>
      </c>
      <c r="S1484" s="75" t="str">
        <f t="shared" si="23"/>
        <v>MO_AUDRAIN</v>
      </c>
    </row>
    <row r="1485" spans="17:19" x14ac:dyDescent="0.2">
      <c r="Q1485" s="30" t="s">
        <v>1049</v>
      </c>
      <c r="R1485" s="71" t="s">
        <v>81</v>
      </c>
      <c r="S1485" s="75" t="str">
        <f t="shared" si="23"/>
        <v>MO_BARRY</v>
      </c>
    </row>
    <row r="1486" spans="17:19" x14ac:dyDescent="0.2">
      <c r="Q1486" s="31" t="s">
        <v>822</v>
      </c>
      <c r="R1486" s="72" t="s">
        <v>81</v>
      </c>
      <c r="S1486" s="75" t="str">
        <f t="shared" si="23"/>
        <v>MO_BARTON</v>
      </c>
    </row>
    <row r="1487" spans="17:19" x14ac:dyDescent="0.2">
      <c r="Q1487" s="30" t="s">
        <v>1204</v>
      </c>
      <c r="R1487" s="71" t="s">
        <v>81</v>
      </c>
      <c r="S1487" s="75" t="str">
        <f t="shared" si="23"/>
        <v>MO_BATES</v>
      </c>
    </row>
    <row r="1488" spans="17:19" x14ac:dyDescent="0.2">
      <c r="Q1488" s="31" t="s">
        <v>307</v>
      </c>
      <c r="R1488" s="72" t="s">
        <v>81</v>
      </c>
      <c r="S1488" s="75" t="str">
        <f t="shared" si="23"/>
        <v>MO_BENTON</v>
      </c>
    </row>
    <row r="1489" spans="17:19" x14ac:dyDescent="0.2">
      <c r="Q1489" s="30" t="s">
        <v>1205</v>
      </c>
      <c r="R1489" s="71" t="s">
        <v>81</v>
      </c>
      <c r="S1489" s="75" t="str">
        <f t="shared" si="23"/>
        <v>MO_BOLLINGER</v>
      </c>
    </row>
    <row r="1490" spans="17:19" x14ac:dyDescent="0.2">
      <c r="Q1490" s="31" t="s">
        <v>308</v>
      </c>
      <c r="R1490" s="72" t="s">
        <v>81</v>
      </c>
      <c r="S1490" s="75" t="str">
        <f t="shared" si="23"/>
        <v>MO_BOONE</v>
      </c>
    </row>
    <row r="1491" spans="17:19" x14ac:dyDescent="0.2">
      <c r="Q1491" s="30" t="s">
        <v>780</v>
      </c>
      <c r="R1491" s="71" t="s">
        <v>81</v>
      </c>
      <c r="S1491" s="75" t="str">
        <f t="shared" si="23"/>
        <v>MO_BUCHANAN</v>
      </c>
    </row>
    <row r="1492" spans="17:19" x14ac:dyDescent="0.2">
      <c r="Q1492" s="31" t="s">
        <v>203</v>
      </c>
      <c r="R1492" s="72" t="s">
        <v>81</v>
      </c>
      <c r="S1492" s="75" t="str">
        <f t="shared" si="23"/>
        <v>MO_BUTLER</v>
      </c>
    </row>
    <row r="1493" spans="17:19" x14ac:dyDescent="0.2">
      <c r="Q1493" s="30" t="s">
        <v>896</v>
      </c>
      <c r="R1493" s="71" t="s">
        <v>81</v>
      </c>
      <c r="S1493" s="75" t="str">
        <f t="shared" si="23"/>
        <v>MO_CALDWELL</v>
      </c>
    </row>
    <row r="1494" spans="17:19" x14ac:dyDescent="0.2">
      <c r="Q1494" s="31" t="s">
        <v>1206</v>
      </c>
      <c r="R1494" s="72" t="s">
        <v>81</v>
      </c>
      <c r="S1494" s="75" t="str">
        <f t="shared" si="23"/>
        <v>MO_CALLAWAY</v>
      </c>
    </row>
    <row r="1495" spans="17:19" x14ac:dyDescent="0.2">
      <c r="Q1495" s="30" t="s">
        <v>548</v>
      </c>
      <c r="R1495" s="71" t="s">
        <v>81</v>
      </c>
      <c r="S1495" s="75" t="str">
        <f t="shared" si="23"/>
        <v>MO_CAMDEN</v>
      </c>
    </row>
    <row r="1496" spans="17:19" x14ac:dyDescent="0.2">
      <c r="Q1496" s="31" t="s">
        <v>1207</v>
      </c>
      <c r="R1496" s="72" t="s">
        <v>81</v>
      </c>
      <c r="S1496" s="75" t="str">
        <f t="shared" si="23"/>
        <v>MO_CAPE GIRARDEAU</v>
      </c>
    </row>
    <row r="1497" spans="17:19" x14ac:dyDescent="0.2">
      <c r="Q1497" s="30" t="s">
        <v>310</v>
      </c>
      <c r="R1497" s="71" t="s">
        <v>81</v>
      </c>
      <c r="S1497" s="75" t="str">
        <f t="shared" si="23"/>
        <v>MO_CARROLL</v>
      </c>
    </row>
    <row r="1498" spans="17:19" x14ac:dyDescent="0.2">
      <c r="Q1498" s="31" t="s">
        <v>900</v>
      </c>
      <c r="R1498" s="72" t="s">
        <v>81</v>
      </c>
      <c r="S1498" s="75" t="str">
        <f t="shared" si="23"/>
        <v>MO_CARTER</v>
      </c>
    </row>
    <row r="1499" spans="17:19" x14ac:dyDescent="0.2">
      <c r="Q1499" s="30" t="s">
        <v>683</v>
      </c>
      <c r="R1499" s="71" t="s">
        <v>81</v>
      </c>
      <c r="S1499" s="75" t="str">
        <f t="shared" si="23"/>
        <v>MO_CASS</v>
      </c>
    </row>
    <row r="1500" spans="17:19" x14ac:dyDescent="0.2">
      <c r="Q1500" s="31" t="s">
        <v>782</v>
      </c>
      <c r="R1500" s="72" t="s">
        <v>81</v>
      </c>
      <c r="S1500" s="75" t="str">
        <f t="shared" si="23"/>
        <v>MO_CEDAR</v>
      </c>
    </row>
    <row r="1501" spans="17:19" x14ac:dyDescent="0.2">
      <c r="Q1501" s="30" t="s">
        <v>1208</v>
      </c>
      <c r="R1501" s="71" t="s">
        <v>81</v>
      </c>
      <c r="S1501" s="75" t="str">
        <f t="shared" si="23"/>
        <v>MO_CHARITON</v>
      </c>
    </row>
    <row r="1502" spans="17:19" x14ac:dyDescent="0.2">
      <c r="Q1502" s="31" t="s">
        <v>685</v>
      </c>
      <c r="R1502" s="72" t="s">
        <v>81</v>
      </c>
      <c r="S1502" s="75" t="str">
        <f t="shared" si="23"/>
        <v>MO_CHRISTIAN</v>
      </c>
    </row>
    <row r="1503" spans="17:19" x14ac:dyDescent="0.2">
      <c r="Q1503" s="30" t="s">
        <v>312</v>
      </c>
      <c r="R1503" s="71" t="s">
        <v>81</v>
      </c>
      <c r="S1503" s="75" t="str">
        <f t="shared" si="23"/>
        <v>MO_CLARK</v>
      </c>
    </row>
    <row r="1504" spans="17:19" x14ac:dyDescent="0.2">
      <c r="Q1504" s="31" t="s">
        <v>210</v>
      </c>
      <c r="R1504" s="72" t="s">
        <v>81</v>
      </c>
      <c r="S1504" s="75" t="str">
        <f t="shared" si="23"/>
        <v>MO_CLAY</v>
      </c>
    </row>
    <row r="1505" spans="17:19" x14ac:dyDescent="0.2">
      <c r="Q1505" s="30" t="s">
        <v>686</v>
      </c>
      <c r="R1505" s="71" t="s">
        <v>81</v>
      </c>
      <c r="S1505" s="75" t="str">
        <f t="shared" si="23"/>
        <v>MO_CLINTON</v>
      </c>
    </row>
    <row r="1506" spans="17:19" x14ac:dyDescent="0.2">
      <c r="Q1506" s="31" t="s">
        <v>1209</v>
      </c>
      <c r="R1506" s="72" t="s">
        <v>81</v>
      </c>
      <c r="S1506" s="75" t="str">
        <f t="shared" si="23"/>
        <v>MO_COLE</v>
      </c>
    </row>
    <row r="1507" spans="17:19" x14ac:dyDescent="0.2">
      <c r="Q1507" s="30" t="s">
        <v>1210</v>
      </c>
      <c r="R1507" s="71" t="s">
        <v>81</v>
      </c>
      <c r="S1507" s="75" t="str">
        <f t="shared" si="23"/>
        <v>MO_COOPER</v>
      </c>
    </row>
    <row r="1508" spans="17:19" x14ac:dyDescent="0.2">
      <c r="Q1508" s="31" t="s">
        <v>317</v>
      </c>
      <c r="R1508" s="72" t="s">
        <v>81</v>
      </c>
      <c r="S1508" s="75" t="str">
        <f t="shared" si="23"/>
        <v>MO_CRAWFORD</v>
      </c>
    </row>
    <row r="1509" spans="17:19" x14ac:dyDescent="0.2">
      <c r="Q1509" s="30" t="s">
        <v>493</v>
      </c>
      <c r="R1509" s="71" t="s">
        <v>81</v>
      </c>
      <c r="S1509" s="75" t="str">
        <f t="shared" si="23"/>
        <v>MO_DADE</v>
      </c>
    </row>
    <row r="1510" spans="17:19" x14ac:dyDescent="0.2">
      <c r="Q1510" s="31" t="s">
        <v>220</v>
      </c>
      <c r="R1510" s="72" t="s">
        <v>81</v>
      </c>
      <c r="S1510" s="75" t="str">
        <f t="shared" si="23"/>
        <v>MO_DALLAS</v>
      </c>
    </row>
    <row r="1511" spans="17:19" x14ac:dyDescent="0.2">
      <c r="Q1511" s="30" t="s">
        <v>736</v>
      </c>
      <c r="R1511" s="71" t="s">
        <v>81</v>
      </c>
      <c r="S1511" s="75" t="str">
        <f t="shared" si="23"/>
        <v>MO_DAVIESS</v>
      </c>
    </row>
    <row r="1512" spans="17:19" x14ac:dyDescent="0.2">
      <c r="Q1512" s="31" t="s">
        <v>221</v>
      </c>
      <c r="R1512" s="72" t="s">
        <v>81</v>
      </c>
      <c r="S1512" s="75" t="str">
        <f t="shared" si="23"/>
        <v>MO_DEKALB</v>
      </c>
    </row>
    <row r="1513" spans="17:19" x14ac:dyDescent="0.2">
      <c r="Q1513" s="30" t="s">
        <v>1211</v>
      </c>
      <c r="R1513" s="71" t="s">
        <v>81</v>
      </c>
      <c r="S1513" s="75" t="str">
        <f t="shared" si="23"/>
        <v>MO_DENT</v>
      </c>
    </row>
    <row r="1514" spans="17:19" x14ac:dyDescent="0.2">
      <c r="Q1514" s="31" t="s">
        <v>434</v>
      </c>
      <c r="R1514" s="72" t="s">
        <v>81</v>
      </c>
      <c r="S1514" s="75" t="str">
        <f t="shared" si="23"/>
        <v>MO_DOUGLAS</v>
      </c>
    </row>
    <row r="1515" spans="17:19" x14ac:dyDescent="0.2">
      <c r="Q1515" s="30" t="s">
        <v>1212</v>
      </c>
      <c r="R1515" s="71" t="s">
        <v>81</v>
      </c>
      <c r="S1515" s="75" t="str">
        <f t="shared" si="23"/>
        <v>MO_DUNKLIN</v>
      </c>
    </row>
    <row r="1516" spans="17:19" x14ac:dyDescent="0.2">
      <c r="Q1516" s="31" t="s">
        <v>226</v>
      </c>
      <c r="R1516" s="72" t="s">
        <v>81</v>
      </c>
      <c r="S1516" s="75" t="str">
        <f t="shared" si="23"/>
        <v>MO_FRANKLIN</v>
      </c>
    </row>
    <row r="1517" spans="17:19" x14ac:dyDescent="0.2">
      <c r="Q1517" s="30" t="s">
        <v>1213</v>
      </c>
      <c r="R1517" s="71" t="s">
        <v>81</v>
      </c>
      <c r="S1517" s="75" t="str">
        <f t="shared" si="23"/>
        <v>MO_GASCONADE</v>
      </c>
    </row>
    <row r="1518" spans="17:19" x14ac:dyDescent="0.2">
      <c r="Q1518" s="31" t="s">
        <v>1214</v>
      </c>
      <c r="R1518" s="72" t="s">
        <v>81</v>
      </c>
      <c r="S1518" s="75" t="str">
        <f t="shared" si="23"/>
        <v>MO_GENTRY</v>
      </c>
    </row>
    <row r="1519" spans="17:19" x14ac:dyDescent="0.2">
      <c r="Q1519" s="30" t="s">
        <v>228</v>
      </c>
      <c r="R1519" s="71" t="s">
        <v>81</v>
      </c>
      <c r="S1519" s="75" t="str">
        <f t="shared" si="23"/>
        <v>MO_GREENE</v>
      </c>
    </row>
    <row r="1520" spans="17:19" x14ac:dyDescent="0.2">
      <c r="Q1520" s="31" t="s">
        <v>695</v>
      </c>
      <c r="R1520" s="72" t="s">
        <v>81</v>
      </c>
      <c r="S1520" s="75" t="str">
        <f t="shared" si="23"/>
        <v>MO_GRUNDY</v>
      </c>
    </row>
    <row r="1521" spans="17:19" x14ac:dyDescent="0.2">
      <c r="Q1521" s="30" t="s">
        <v>743</v>
      </c>
      <c r="R1521" s="71" t="s">
        <v>81</v>
      </c>
      <c r="S1521" s="75" t="str">
        <f t="shared" si="23"/>
        <v>MO_HARRISON</v>
      </c>
    </row>
    <row r="1522" spans="17:19" x14ac:dyDescent="0.2">
      <c r="Q1522" s="31" t="s">
        <v>230</v>
      </c>
      <c r="R1522" s="72" t="s">
        <v>81</v>
      </c>
      <c r="S1522" s="75" t="str">
        <f t="shared" si="23"/>
        <v>MO_HENRY</v>
      </c>
    </row>
    <row r="1523" spans="17:19" x14ac:dyDescent="0.2">
      <c r="Q1523" s="30" t="s">
        <v>1215</v>
      </c>
      <c r="R1523" s="71" t="s">
        <v>81</v>
      </c>
      <c r="S1523" s="75" t="str">
        <f t="shared" si="23"/>
        <v>MO_HICKORY</v>
      </c>
    </row>
    <row r="1524" spans="17:19" x14ac:dyDescent="0.2">
      <c r="Q1524" s="31" t="s">
        <v>1216</v>
      </c>
      <c r="R1524" s="72" t="s">
        <v>81</v>
      </c>
      <c r="S1524" s="75" t="str">
        <f t="shared" si="23"/>
        <v>MO_HOLT</v>
      </c>
    </row>
    <row r="1525" spans="17:19" x14ac:dyDescent="0.2">
      <c r="Q1525" s="30" t="s">
        <v>328</v>
      </c>
      <c r="R1525" s="71" t="s">
        <v>81</v>
      </c>
      <c r="S1525" s="75" t="str">
        <f t="shared" si="23"/>
        <v>MO_HOWARD</v>
      </c>
    </row>
    <row r="1526" spans="17:19" x14ac:dyDescent="0.2">
      <c r="Q1526" s="31" t="s">
        <v>1217</v>
      </c>
      <c r="R1526" s="72" t="s">
        <v>81</v>
      </c>
      <c r="S1526" s="75" t="str">
        <f t="shared" si="23"/>
        <v>MO_HOWELL</v>
      </c>
    </row>
    <row r="1527" spans="17:19" x14ac:dyDescent="0.2">
      <c r="Q1527" s="30" t="s">
        <v>1068</v>
      </c>
      <c r="R1527" s="71" t="s">
        <v>81</v>
      </c>
      <c r="S1527" s="75" t="str">
        <f t="shared" si="23"/>
        <v>MO_IRON</v>
      </c>
    </row>
    <row r="1528" spans="17:19" x14ac:dyDescent="0.2">
      <c r="Q1528" s="31" t="s">
        <v>232</v>
      </c>
      <c r="R1528" s="72" t="s">
        <v>81</v>
      </c>
      <c r="S1528" s="75" t="str">
        <f t="shared" si="23"/>
        <v>MO_JACKSON</v>
      </c>
    </row>
    <row r="1529" spans="17:19" x14ac:dyDescent="0.2">
      <c r="Q1529" s="30" t="s">
        <v>590</v>
      </c>
      <c r="R1529" s="71" t="s">
        <v>81</v>
      </c>
      <c r="S1529" s="75" t="str">
        <f t="shared" si="23"/>
        <v>MO_JASPER</v>
      </c>
    </row>
    <row r="1530" spans="17:19" x14ac:dyDescent="0.2">
      <c r="Q1530" s="31" t="s">
        <v>233</v>
      </c>
      <c r="R1530" s="72" t="s">
        <v>81</v>
      </c>
      <c r="S1530" s="75" t="str">
        <f t="shared" si="23"/>
        <v>MO_JEFFERSON</v>
      </c>
    </row>
    <row r="1531" spans="17:19" x14ac:dyDescent="0.2">
      <c r="Q1531" s="30" t="s">
        <v>331</v>
      </c>
      <c r="R1531" s="71" t="s">
        <v>81</v>
      </c>
      <c r="S1531" s="75" t="str">
        <f t="shared" si="23"/>
        <v>MO_JOHNSON</v>
      </c>
    </row>
    <row r="1532" spans="17:19" x14ac:dyDescent="0.2">
      <c r="Q1532" s="31" t="s">
        <v>704</v>
      </c>
      <c r="R1532" s="72" t="s">
        <v>81</v>
      </c>
      <c r="S1532" s="75" t="str">
        <f t="shared" si="23"/>
        <v>MO_KNOX</v>
      </c>
    </row>
    <row r="1533" spans="17:19" x14ac:dyDescent="0.2">
      <c r="Q1533" s="30" t="s">
        <v>1218</v>
      </c>
      <c r="R1533" s="71" t="s">
        <v>81</v>
      </c>
      <c r="S1533" s="75" t="str">
        <f t="shared" si="23"/>
        <v>MO_LACLEDE</v>
      </c>
    </row>
    <row r="1534" spans="17:19" x14ac:dyDescent="0.2">
      <c r="Q1534" s="31" t="s">
        <v>332</v>
      </c>
      <c r="R1534" s="72" t="s">
        <v>81</v>
      </c>
      <c r="S1534" s="75" t="str">
        <f t="shared" si="23"/>
        <v>MO_LAFAYETTE</v>
      </c>
    </row>
    <row r="1535" spans="17:19" x14ac:dyDescent="0.2">
      <c r="Q1535" s="30" t="s">
        <v>236</v>
      </c>
      <c r="R1535" s="71" t="s">
        <v>81</v>
      </c>
      <c r="S1535" s="75" t="str">
        <f t="shared" si="23"/>
        <v>MO_LAWRENCE</v>
      </c>
    </row>
    <row r="1536" spans="17:19" x14ac:dyDescent="0.2">
      <c r="Q1536" s="31" t="s">
        <v>668</v>
      </c>
      <c r="R1536" s="72" t="s">
        <v>81</v>
      </c>
      <c r="S1536" s="75" t="str">
        <f t="shared" si="23"/>
        <v>MO_LEWIS</v>
      </c>
    </row>
    <row r="1537" spans="17:19" x14ac:dyDescent="0.2">
      <c r="Q1537" s="30" t="s">
        <v>333</v>
      </c>
      <c r="R1537" s="71" t="s">
        <v>81</v>
      </c>
      <c r="S1537" s="75" t="str">
        <f t="shared" si="23"/>
        <v>MO_LINCOLN</v>
      </c>
    </row>
    <row r="1538" spans="17:19" x14ac:dyDescent="0.2">
      <c r="Q1538" s="31" t="s">
        <v>795</v>
      </c>
      <c r="R1538" s="72" t="s">
        <v>81</v>
      </c>
      <c r="S1538" s="75" t="str">
        <f t="shared" si="23"/>
        <v>MO_LINN</v>
      </c>
    </row>
    <row r="1539" spans="17:19" x14ac:dyDescent="0.2">
      <c r="Q1539" s="30" t="s">
        <v>706</v>
      </c>
      <c r="R1539" s="71" t="s">
        <v>81</v>
      </c>
      <c r="S1539" s="75" t="str">
        <f t="shared" si="23"/>
        <v>MO_LIVINGSTON</v>
      </c>
    </row>
    <row r="1540" spans="17:19" x14ac:dyDescent="0.2">
      <c r="Q1540" s="31" t="s">
        <v>1219</v>
      </c>
      <c r="R1540" s="72" t="s">
        <v>81</v>
      </c>
      <c r="S1540" s="75" t="str">
        <f t="shared" ref="S1540:S1603" si="24">UPPER(CONCATENATE(TRIM(R1540),"_",TRIM(Q1540)))</f>
        <v>MO_MCDONALD</v>
      </c>
    </row>
    <row r="1541" spans="17:19" x14ac:dyDescent="0.2">
      <c r="Q1541" s="30" t="s">
        <v>240</v>
      </c>
      <c r="R1541" s="71" t="s">
        <v>81</v>
      </c>
      <c r="S1541" s="75" t="str">
        <f t="shared" si="24"/>
        <v>MO_MACON</v>
      </c>
    </row>
    <row r="1542" spans="17:19" x14ac:dyDescent="0.2">
      <c r="Q1542" s="31" t="s">
        <v>241</v>
      </c>
      <c r="R1542" s="72" t="s">
        <v>81</v>
      </c>
      <c r="S1542" s="75" t="str">
        <f t="shared" si="24"/>
        <v>MO_MADISON</v>
      </c>
    </row>
    <row r="1543" spans="17:19" x14ac:dyDescent="0.2">
      <c r="Q1543" s="30" t="s">
        <v>1220</v>
      </c>
      <c r="R1543" s="71" t="s">
        <v>81</v>
      </c>
      <c r="S1543" s="75" t="str">
        <f t="shared" si="24"/>
        <v>MO_MARIES</v>
      </c>
    </row>
    <row r="1544" spans="17:19" x14ac:dyDescent="0.2">
      <c r="Q1544" s="31" t="s">
        <v>243</v>
      </c>
      <c r="R1544" s="72" t="s">
        <v>81</v>
      </c>
      <c r="S1544" s="75" t="str">
        <f t="shared" si="24"/>
        <v>MO_MARION</v>
      </c>
    </row>
    <row r="1545" spans="17:19" x14ac:dyDescent="0.2">
      <c r="Q1545" s="30" t="s">
        <v>714</v>
      </c>
      <c r="R1545" s="71" t="s">
        <v>81</v>
      </c>
      <c r="S1545" s="75" t="str">
        <f t="shared" si="24"/>
        <v>MO_MERCER</v>
      </c>
    </row>
    <row r="1546" spans="17:19" x14ac:dyDescent="0.2">
      <c r="Q1546" s="31" t="s">
        <v>337</v>
      </c>
      <c r="R1546" s="72" t="s">
        <v>81</v>
      </c>
      <c r="S1546" s="75" t="str">
        <f t="shared" si="24"/>
        <v>MO_MILLER</v>
      </c>
    </row>
    <row r="1547" spans="17:19" x14ac:dyDescent="0.2">
      <c r="Q1547" s="30" t="s">
        <v>338</v>
      </c>
      <c r="R1547" s="71" t="s">
        <v>81</v>
      </c>
      <c r="S1547" s="75" t="str">
        <f t="shared" si="24"/>
        <v>MO_MISSISSIPPI</v>
      </c>
    </row>
    <row r="1548" spans="17:19" x14ac:dyDescent="0.2">
      <c r="Q1548" s="31" t="s">
        <v>1221</v>
      </c>
      <c r="R1548" s="72" t="s">
        <v>81</v>
      </c>
      <c r="S1548" s="75" t="str">
        <f t="shared" si="24"/>
        <v>MO_MONITEAU</v>
      </c>
    </row>
    <row r="1549" spans="17:19" x14ac:dyDescent="0.2">
      <c r="Q1549" s="30" t="s">
        <v>246</v>
      </c>
      <c r="R1549" s="71" t="s">
        <v>81</v>
      </c>
      <c r="S1549" s="75" t="str">
        <f t="shared" si="24"/>
        <v>MO_MONROE</v>
      </c>
    </row>
    <row r="1550" spans="17:19" x14ac:dyDescent="0.2">
      <c r="Q1550" s="31" t="s">
        <v>247</v>
      </c>
      <c r="R1550" s="72" t="s">
        <v>81</v>
      </c>
      <c r="S1550" s="75" t="str">
        <f t="shared" si="24"/>
        <v>MO_MONTGOMERY</v>
      </c>
    </row>
    <row r="1551" spans="17:19" x14ac:dyDescent="0.2">
      <c r="Q1551" s="30" t="s">
        <v>248</v>
      </c>
      <c r="R1551" s="71" t="s">
        <v>81</v>
      </c>
      <c r="S1551" s="75" t="str">
        <f t="shared" si="24"/>
        <v>MO_MORGAN</v>
      </c>
    </row>
    <row r="1552" spans="17:19" x14ac:dyDescent="0.2">
      <c r="Q1552" s="31" t="s">
        <v>1222</v>
      </c>
      <c r="R1552" s="72" t="s">
        <v>81</v>
      </c>
      <c r="S1552" s="75" t="str">
        <f t="shared" si="24"/>
        <v>MO_NEW MADRID</v>
      </c>
    </row>
    <row r="1553" spans="17:19" x14ac:dyDescent="0.2">
      <c r="Q1553" s="30" t="s">
        <v>340</v>
      </c>
      <c r="R1553" s="71" t="s">
        <v>81</v>
      </c>
      <c r="S1553" s="75" t="str">
        <f t="shared" si="24"/>
        <v>MO_NEWTON</v>
      </c>
    </row>
    <row r="1554" spans="17:19" x14ac:dyDescent="0.2">
      <c r="Q1554" s="31" t="s">
        <v>1223</v>
      </c>
      <c r="R1554" s="72" t="s">
        <v>81</v>
      </c>
      <c r="S1554" s="75" t="str">
        <f t="shared" si="24"/>
        <v>MO_NODAWAY</v>
      </c>
    </row>
    <row r="1555" spans="17:19" x14ac:dyDescent="0.2">
      <c r="Q1555" s="30" t="s">
        <v>1224</v>
      </c>
      <c r="R1555" s="71" t="s">
        <v>81</v>
      </c>
      <c r="S1555" s="75" t="str">
        <f t="shared" si="24"/>
        <v>MO_OREGON</v>
      </c>
    </row>
    <row r="1556" spans="17:19" x14ac:dyDescent="0.2">
      <c r="Q1556" s="31" t="s">
        <v>858</v>
      </c>
      <c r="R1556" s="72" t="s">
        <v>81</v>
      </c>
      <c r="S1556" s="75" t="str">
        <f t="shared" si="24"/>
        <v>MO_OSAGE</v>
      </c>
    </row>
    <row r="1557" spans="17:19" x14ac:dyDescent="0.2">
      <c r="Q1557" s="30" t="s">
        <v>1225</v>
      </c>
      <c r="R1557" s="71" t="s">
        <v>81</v>
      </c>
      <c r="S1557" s="75" t="str">
        <f t="shared" si="24"/>
        <v>MO_OZARK</v>
      </c>
    </row>
    <row r="1558" spans="17:19" x14ac:dyDescent="0.2">
      <c r="Q1558" s="31" t="s">
        <v>1226</v>
      </c>
      <c r="R1558" s="72" t="s">
        <v>81</v>
      </c>
      <c r="S1558" s="75" t="str">
        <f t="shared" si="24"/>
        <v>MO_PEMISCOT</v>
      </c>
    </row>
    <row r="1559" spans="17:19" x14ac:dyDescent="0.2">
      <c r="Q1559" s="30" t="s">
        <v>249</v>
      </c>
      <c r="R1559" s="71" t="s">
        <v>81</v>
      </c>
      <c r="S1559" s="75" t="str">
        <f t="shared" si="24"/>
        <v>MO_PERRY</v>
      </c>
    </row>
    <row r="1560" spans="17:19" x14ac:dyDescent="0.2">
      <c r="Q1560" s="31" t="s">
        <v>1227</v>
      </c>
      <c r="R1560" s="72" t="s">
        <v>81</v>
      </c>
      <c r="S1560" s="75" t="str">
        <f t="shared" si="24"/>
        <v>MO_PETTIS</v>
      </c>
    </row>
    <row r="1561" spans="17:19" x14ac:dyDescent="0.2">
      <c r="Q1561" s="30" t="s">
        <v>1228</v>
      </c>
      <c r="R1561" s="71" t="s">
        <v>81</v>
      </c>
      <c r="S1561" s="75" t="str">
        <f t="shared" si="24"/>
        <v>MO_PHELPS</v>
      </c>
    </row>
    <row r="1562" spans="17:19" x14ac:dyDescent="0.2">
      <c r="Q1562" s="31" t="s">
        <v>251</v>
      </c>
      <c r="R1562" s="72" t="s">
        <v>81</v>
      </c>
      <c r="S1562" s="75" t="str">
        <f t="shared" si="24"/>
        <v>MO_PIKE</v>
      </c>
    </row>
    <row r="1563" spans="17:19" x14ac:dyDescent="0.2">
      <c r="Q1563" s="30" t="s">
        <v>1229</v>
      </c>
      <c r="R1563" s="71" t="s">
        <v>81</v>
      </c>
      <c r="S1563" s="75" t="str">
        <f t="shared" si="24"/>
        <v>MO_PLATTE</v>
      </c>
    </row>
    <row r="1564" spans="17:19" x14ac:dyDescent="0.2">
      <c r="Q1564" s="31" t="s">
        <v>344</v>
      </c>
      <c r="R1564" s="72" t="s">
        <v>81</v>
      </c>
      <c r="S1564" s="75" t="str">
        <f t="shared" si="24"/>
        <v>MO_POLK</v>
      </c>
    </row>
    <row r="1565" spans="17:19" x14ac:dyDescent="0.2">
      <c r="Q1565" s="30" t="s">
        <v>347</v>
      </c>
      <c r="R1565" s="71" t="s">
        <v>81</v>
      </c>
      <c r="S1565" s="75" t="str">
        <f t="shared" si="24"/>
        <v>MO_PULASKI</v>
      </c>
    </row>
    <row r="1566" spans="17:19" x14ac:dyDescent="0.2">
      <c r="Q1566" s="31" t="s">
        <v>522</v>
      </c>
      <c r="R1566" s="72" t="s">
        <v>81</v>
      </c>
      <c r="S1566" s="75" t="str">
        <f t="shared" si="24"/>
        <v>MO_PUTNAM</v>
      </c>
    </row>
    <row r="1567" spans="17:19" x14ac:dyDescent="0.2">
      <c r="Q1567" s="30" t="s">
        <v>1230</v>
      </c>
      <c r="R1567" s="71" t="s">
        <v>81</v>
      </c>
      <c r="S1567" s="75" t="str">
        <f t="shared" si="24"/>
        <v>MO_RALLS</v>
      </c>
    </row>
    <row r="1568" spans="17:19" x14ac:dyDescent="0.2">
      <c r="Q1568" s="31" t="s">
        <v>252</v>
      </c>
      <c r="R1568" s="72" t="s">
        <v>81</v>
      </c>
      <c r="S1568" s="75" t="str">
        <f t="shared" si="24"/>
        <v>MO_RANDOLPH</v>
      </c>
    </row>
    <row r="1569" spans="17:19" x14ac:dyDescent="0.2">
      <c r="Q1569" s="30" t="s">
        <v>1231</v>
      </c>
      <c r="R1569" s="71" t="s">
        <v>81</v>
      </c>
      <c r="S1569" s="75" t="str">
        <f t="shared" si="24"/>
        <v>MO_RAY</v>
      </c>
    </row>
    <row r="1570" spans="17:19" x14ac:dyDescent="0.2">
      <c r="Q1570" s="31" t="s">
        <v>1232</v>
      </c>
      <c r="R1570" s="72" t="s">
        <v>81</v>
      </c>
      <c r="S1570" s="75" t="str">
        <f t="shared" si="24"/>
        <v>MO_REYNOLDS</v>
      </c>
    </row>
    <row r="1571" spans="17:19" x14ac:dyDescent="0.2">
      <c r="Q1571" s="30" t="s">
        <v>758</v>
      </c>
      <c r="R1571" s="71" t="s">
        <v>81</v>
      </c>
      <c r="S1571" s="75" t="str">
        <f t="shared" si="24"/>
        <v>MO_RIPLEY</v>
      </c>
    </row>
    <row r="1572" spans="17:19" x14ac:dyDescent="0.2">
      <c r="Q1572" s="31" t="s">
        <v>1233</v>
      </c>
      <c r="R1572" s="72" t="s">
        <v>81</v>
      </c>
      <c r="S1572" s="75" t="str">
        <f t="shared" si="24"/>
        <v>MO_ST. CHARLES</v>
      </c>
    </row>
    <row r="1573" spans="17:19" x14ac:dyDescent="0.2">
      <c r="Q1573" s="30" t="s">
        <v>254</v>
      </c>
      <c r="R1573" s="71" t="s">
        <v>81</v>
      </c>
      <c r="S1573" s="75" t="str">
        <f t="shared" si="24"/>
        <v>MO_ST. CLAIR</v>
      </c>
    </row>
    <row r="1574" spans="17:19" x14ac:dyDescent="0.2">
      <c r="Q1574" s="31" t="s">
        <v>1234</v>
      </c>
      <c r="R1574" s="72" t="s">
        <v>81</v>
      </c>
      <c r="S1574" s="75" t="str">
        <f t="shared" si="24"/>
        <v>MO_STE. GENEVIEVE</v>
      </c>
    </row>
    <row r="1575" spans="17:19" x14ac:dyDescent="0.2">
      <c r="Q1575" s="30" t="s">
        <v>1235</v>
      </c>
      <c r="R1575" s="71" t="s">
        <v>81</v>
      </c>
      <c r="S1575" s="75" t="str">
        <f t="shared" si="24"/>
        <v>MO_ST. FRANCOIS</v>
      </c>
    </row>
    <row r="1576" spans="17:19" x14ac:dyDescent="0.2">
      <c r="Q1576" s="31" t="s">
        <v>1151</v>
      </c>
      <c r="R1576" s="72" t="s">
        <v>81</v>
      </c>
      <c r="S1576" s="75" t="str">
        <f t="shared" si="24"/>
        <v>MO_ST. LOUIS</v>
      </c>
    </row>
    <row r="1577" spans="17:19" x14ac:dyDescent="0.2">
      <c r="Q1577" s="30" t="s">
        <v>349</v>
      </c>
      <c r="R1577" s="71" t="s">
        <v>81</v>
      </c>
      <c r="S1577" s="75" t="str">
        <f t="shared" si="24"/>
        <v>MO_SALINE</v>
      </c>
    </row>
    <row r="1578" spans="17:19" x14ac:dyDescent="0.2">
      <c r="Q1578" s="31" t="s">
        <v>722</v>
      </c>
      <c r="R1578" s="72" t="s">
        <v>81</v>
      </c>
      <c r="S1578" s="75" t="str">
        <f t="shared" si="24"/>
        <v>MO_SCHUYLER</v>
      </c>
    </row>
    <row r="1579" spans="17:19" x14ac:dyDescent="0.2">
      <c r="Q1579" s="30" t="s">
        <v>1236</v>
      </c>
      <c r="R1579" s="71" t="s">
        <v>81</v>
      </c>
      <c r="S1579" s="75" t="str">
        <f t="shared" si="24"/>
        <v>MO_SCOTLAND</v>
      </c>
    </row>
    <row r="1580" spans="17:19" x14ac:dyDescent="0.2">
      <c r="Q1580" s="31" t="s">
        <v>350</v>
      </c>
      <c r="R1580" s="72" t="s">
        <v>81</v>
      </c>
      <c r="S1580" s="75" t="str">
        <f t="shared" si="24"/>
        <v>MO_SCOTT</v>
      </c>
    </row>
    <row r="1581" spans="17:19" x14ac:dyDescent="0.2">
      <c r="Q1581" s="30" t="s">
        <v>1237</v>
      </c>
      <c r="R1581" s="71" t="s">
        <v>81</v>
      </c>
      <c r="S1581" s="75" t="str">
        <f t="shared" si="24"/>
        <v>MO_SHANNON</v>
      </c>
    </row>
    <row r="1582" spans="17:19" x14ac:dyDescent="0.2">
      <c r="Q1582" s="31" t="s">
        <v>255</v>
      </c>
      <c r="R1582" s="72" t="s">
        <v>81</v>
      </c>
      <c r="S1582" s="75" t="str">
        <f t="shared" si="24"/>
        <v>MO_SHELBY</v>
      </c>
    </row>
    <row r="1583" spans="17:19" x14ac:dyDescent="0.2">
      <c r="Q1583" s="30" t="s">
        <v>1238</v>
      </c>
      <c r="R1583" s="71" t="s">
        <v>81</v>
      </c>
      <c r="S1583" s="75" t="str">
        <f t="shared" si="24"/>
        <v>MO_STODDARD</v>
      </c>
    </row>
    <row r="1584" spans="17:19" x14ac:dyDescent="0.2">
      <c r="Q1584" s="31" t="s">
        <v>355</v>
      </c>
      <c r="R1584" s="72" t="s">
        <v>81</v>
      </c>
      <c r="S1584" s="75" t="str">
        <f t="shared" si="24"/>
        <v>MO_STONE</v>
      </c>
    </row>
    <row r="1585" spans="17:19" x14ac:dyDescent="0.2">
      <c r="Q1585" s="30" t="s">
        <v>764</v>
      </c>
      <c r="R1585" s="71" t="s">
        <v>81</v>
      </c>
      <c r="S1585" s="75" t="str">
        <f t="shared" si="24"/>
        <v>MO_SULLIVAN</v>
      </c>
    </row>
    <row r="1586" spans="17:19" x14ac:dyDescent="0.2">
      <c r="Q1586" s="31" t="s">
        <v>1239</v>
      </c>
      <c r="R1586" s="72" t="s">
        <v>81</v>
      </c>
      <c r="S1586" s="75" t="str">
        <f t="shared" si="24"/>
        <v>MO_TANEY</v>
      </c>
    </row>
    <row r="1587" spans="17:19" x14ac:dyDescent="0.2">
      <c r="Q1587" s="30" t="s">
        <v>1240</v>
      </c>
      <c r="R1587" s="71" t="s">
        <v>81</v>
      </c>
      <c r="S1587" s="75" t="str">
        <f t="shared" si="24"/>
        <v>MO_TEXAS</v>
      </c>
    </row>
    <row r="1588" spans="17:19" x14ac:dyDescent="0.2">
      <c r="Q1588" s="31" t="s">
        <v>1241</v>
      </c>
      <c r="R1588" s="72" t="s">
        <v>81</v>
      </c>
      <c r="S1588" s="75" t="str">
        <f t="shared" si="24"/>
        <v>MO_VERNON</v>
      </c>
    </row>
    <row r="1589" spans="17:19" x14ac:dyDescent="0.2">
      <c r="Q1589" s="30" t="s">
        <v>633</v>
      </c>
      <c r="R1589" s="71" t="s">
        <v>81</v>
      </c>
      <c r="S1589" s="75" t="str">
        <f t="shared" si="24"/>
        <v>MO_WARREN</v>
      </c>
    </row>
    <row r="1590" spans="17:19" x14ac:dyDescent="0.2">
      <c r="Q1590" s="31" t="s">
        <v>261</v>
      </c>
      <c r="R1590" s="72" t="s">
        <v>81</v>
      </c>
      <c r="S1590" s="75" t="str">
        <f t="shared" si="24"/>
        <v>MO_WASHINGTON</v>
      </c>
    </row>
    <row r="1591" spans="17:19" x14ac:dyDescent="0.2">
      <c r="Q1591" s="30" t="s">
        <v>634</v>
      </c>
      <c r="R1591" s="71" t="s">
        <v>81</v>
      </c>
      <c r="S1591" s="75" t="str">
        <f t="shared" si="24"/>
        <v>MO_WAYNE</v>
      </c>
    </row>
    <row r="1592" spans="17:19" x14ac:dyDescent="0.2">
      <c r="Q1592" s="31" t="s">
        <v>635</v>
      </c>
      <c r="R1592" s="72" t="s">
        <v>81</v>
      </c>
      <c r="S1592" s="75" t="str">
        <f t="shared" si="24"/>
        <v>MO_WEBSTER</v>
      </c>
    </row>
    <row r="1593" spans="17:19" x14ac:dyDescent="0.2">
      <c r="Q1593" s="30" t="s">
        <v>640</v>
      </c>
      <c r="R1593" s="71" t="s">
        <v>81</v>
      </c>
      <c r="S1593" s="75" t="str">
        <f t="shared" si="24"/>
        <v>MO_WORTH</v>
      </c>
    </row>
    <row r="1594" spans="17:19" x14ac:dyDescent="0.2">
      <c r="Q1594" s="31" t="s">
        <v>818</v>
      </c>
      <c r="R1594" s="72" t="s">
        <v>81</v>
      </c>
      <c r="S1594" s="75" t="str">
        <f t="shared" si="24"/>
        <v>MO_WRIGHT</v>
      </c>
    </row>
    <row r="1595" spans="17:19" x14ac:dyDescent="0.2">
      <c r="Q1595" s="30" t="s">
        <v>1242</v>
      </c>
      <c r="R1595" s="71" t="s">
        <v>81</v>
      </c>
      <c r="S1595" s="75" t="str">
        <f t="shared" si="24"/>
        <v>MO_ST. LOUIS CITY</v>
      </c>
    </row>
    <row r="1596" spans="17:19" x14ac:dyDescent="0.2">
      <c r="Q1596" s="31" t="s">
        <v>1243</v>
      </c>
      <c r="R1596" s="72" t="s">
        <v>80</v>
      </c>
      <c r="S1596" s="75" t="str">
        <f t="shared" si="24"/>
        <v>MT_BEAVERHEAD</v>
      </c>
    </row>
    <row r="1597" spans="17:19" x14ac:dyDescent="0.2">
      <c r="Q1597" s="30" t="s">
        <v>1244</v>
      </c>
      <c r="R1597" s="71" t="s">
        <v>80</v>
      </c>
      <c r="S1597" s="75" t="str">
        <f t="shared" si="24"/>
        <v>MT_BIG HORN</v>
      </c>
    </row>
    <row r="1598" spans="17:19" x14ac:dyDescent="0.2">
      <c r="Q1598" s="31" t="s">
        <v>651</v>
      </c>
      <c r="R1598" s="72" t="s">
        <v>80</v>
      </c>
      <c r="S1598" s="75" t="str">
        <f t="shared" si="24"/>
        <v>MT_BLAINE</v>
      </c>
    </row>
    <row r="1599" spans="17:19" x14ac:dyDescent="0.2">
      <c r="Q1599" s="30" t="s">
        <v>1245</v>
      </c>
      <c r="R1599" s="71" t="s">
        <v>80</v>
      </c>
      <c r="S1599" s="75" t="str">
        <f t="shared" si="24"/>
        <v>MT_BROADWATER</v>
      </c>
    </row>
    <row r="1600" spans="17:19" x14ac:dyDescent="0.2">
      <c r="Q1600" s="31" t="s">
        <v>1246</v>
      </c>
      <c r="R1600" s="72" t="s">
        <v>80</v>
      </c>
      <c r="S1600" s="75" t="str">
        <f t="shared" si="24"/>
        <v>MT_CARBON</v>
      </c>
    </row>
    <row r="1601" spans="17:19" x14ac:dyDescent="0.2">
      <c r="Q1601" s="30" t="s">
        <v>900</v>
      </c>
      <c r="R1601" s="71" t="s">
        <v>80</v>
      </c>
      <c r="S1601" s="75" t="str">
        <f t="shared" si="24"/>
        <v>MT_CARTER</v>
      </c>
    </row>
    <row r="1602" spans="17:19" x14ac:dyDescent="0.2">
      <c r="Q1602" s="31" t="s">
        <v>1247</v>
      </c>
      <c r="R1602" s="72" t="s">
        <v>80</v>
      </c>
      <c r="S1602" s="75" t="str">
        <f t="shared" si="24"/>
        <v>MT_CASCADE</v>
      </c>
    </row>
    <row r="1603" spans="17:19" x14ac:dyDescent="0.2">
      <c r="Q1603" s="30" t="s">
        <v>1248</v>
      </c>
      <c r="R1603" s="71" t="s">
        <v>80</v>
      </c>
      <c r="S1603" s="75" t="str">
        <f t="shared" si="24"/>
        <v>MT_CHOUTEAU</v>
      </c>
    </row>
    <row r="1604" spans="17:19" x14ac:dyDescent="0.2">
      <c r="Q1604" s="31" t="s">
        <v>430</v>
      </c>
      <c r="R1604" s="72" t="s">
        <v>80</v>
      </c>
      <c r="S1604" s="75" t="str">
        <f t="shared" ref="S1604:S1667" si="25">UPPER(CONCATENATE(TRIM(R1604),"_",TRIM(Q1604)))</f>
        <v>MT_CUSTER</v>
      </c>
    </row>
    <row r="1605" spans="17:19" x14ac:dyDescent="0.2">
      <c r="Q1605" s="30" t="s">
        <v>1249</v>
      </c>
      <c r="R1605" s="71" t="s">
        <v>80</v>
      </c>
      <c r="S1605" s="75" t="str">
        <f t="shared" si="25"/>
        <v>MT_DANIELS</v>
      </c>
    </row>
    <row r="1606" spans="17:19" x14ac:dyDescent="0.2">
      <c r="Q1606" s="31" t="s">
        <v>562</v>
      </c>
      <c r="R1606" s="72" t="s">
        <v>80</v>
      </c>
      <c r="S1606" s="75" t="str">
        <f t="shared" si="25"/>
        <v>MT_DAWSON</v>
      </c>
    </row>
    <row r="1607" spans="17:19" x14ac:dyDescent="0.2">
      <c r="Q1607" s="30" t="s">
        <v>1250</v>
      </c>
      <c r="R1607" s="71" t="s">
        <v>80</v>
      </c>
      <c r="S1607" s="75" t="str">
        <f t="shared" si="25"/>
        <v>MT_DEER LODGE</v>
      </c>
    </row>
    <row r="1608" spans="17:19" x14ac:dyDescent="0.2">
      <c r="Q1608" s="31" t="s">
        <v>1251</v>
      </c>
      <c r="R1608" s="72" t="s">
        <v>80</v>
      </c>
      <c r="S1608" s="75" t="str">
        <f t="shared" si="25"/>
        <v>MT_FALLON</v>
      </c>
    </row>
    <row r="1609" spans="17:19" x14ac:dyDescent="0.2">
      <c r="Q1609" s="30" t="s">
        <v>1252</v>
      </c>
      <c r="R1609" s="71" t="s">
        <v>80</v>
      </c>
      <c r="S1609" s="75" t="str">
        <f t="shared" si="25"/>
        <v>MT_FERGUS</v>
      </c>
    </row>
    <row r="1610" spans="17:19" x14ac:dyDescent="0.2">
      <c r="Q1610" s="31" t="s">
        <v>1253</v>
      </c>
      <c r="R1610" s="72" t="s">
        <v>80</v>
      </c>
      <c r="S1610" s="75" t="str">
        <f t="shared" si="25"/>
        <v>MT_FLATHEAD</v>
      </c>
    </row>
    <row r="1611" spans="17:19" x14ac:dyDescent="0.2">
      <c r="Q1611" s="30" t="s">
        <v>694</v>
      </c>
      <c r="R1611" s="71" t="s">
        <v>80</v>
      </c>
      <c r="S1611" s="75" t="str">
        <f t="shared" si="25"/>
        <v>MT_GALLATIN</v>
      </c>
    </row>
    <row r="1612" spans="17:19" x14ac:dyDescent="0.2">
      <c r="Q1612" s="31" t="s">
        <v>439</v>
      </c>
      <c r="R1612" s="72" t="s">
        <v>80</v>
      </c>
      <c r="S1612" s="75" t="str">
        <f t="shared" si="25"/>
        <v>MT_GARFIELD</v>
      </c>
    </row>
    <row r="1613" spans="17:19" x14ac:dyDescent="0.2">
      <c r="Q1613" s="30" t="s">
        <v>1254</v>
      </c>
      <c r="R1613" s="71" t="s">
        <v>80</v>
      </c>
      <c r="S1613" s="75" t="str">
        <f t="shared" si="25"/>
        <v>MT_GLACIER</v>
      </c>
    </row>
    <row r="1614" spans="17:19" x14ac:dyDescent="0.2">
      <c r="Q1614" s="31" t="s">
        <v>1255</v>
      </c>
      <c r="R1614" s="72" t="s">
        <v>80</v>
      </c>
      <c r="S1614" s="75" t="str">
        <f t="shared" si="25"/>
        <v>MT_GOLDEN VALLEY</v>
      </c>
    </row>
    <row r="1615" spans="17:19" x14ac:dyDescent="0.2">
      <c r="Q1615" s="30" t="s">
        <v>1256</v>
      </c>
      <c r="R1615" s="71" t="s">
        <v>80</v>
      </c>
      <c r="S1615" s="75" t="str">
        <f t="shared" si="25"/>
        <v>MT_GRANITE</v>
      </c>
    </row>
    <row r="1616" spans="17:19" x14ac:dyDescent="0.2">
      <c r="Q1616" s="31" t="s">
        <v>1257</v>
      </c>
      <c r="R1616" s="72" t="s">
        <v>80</v>
      </c>
      <c r="S1616" s="75" t="str">
        <f t="shared" si="25"/>
        <v>MT_HILL</v>
      </c>
    </row>
    <row r="1617" spans="17:19" x14ac:dyDescent="0.2">
      <c r="Q1617" s="30" t="s">
        <v>233</v>
      </c>
      <c r="R1617" s="71" t="s">
        <v>80</v>
      </c>
      <c r="S1617" s="75" t="str">
        <f t="shared" si="25"/>
        <v>MT_JEFFERSON</v>
      </c>
    </row>
    <row r="1618" spans="17:19" x14ac:dyDescent="0.2">
      <c r="Q1618" s="31" t="s">
        <v>1258</v>
      </c>
      <c r="R1618" s="72" t="s">
        <v>80</v>
      </c>
      <c r="S1618" s="75" t="str">
        <f t="shared" si="25"/>
        <v>MT_JUDITH BASIN</v>
      </c>
    </row>
    <row r="1619" spans="17:19" x14ac:dyDescent="0.2">
      <c r="Q1619" s="30" t="s">
        <v>377</v>
      </c>
      <c r="R1619" s="71" t="s">
        <v>80</v>
      </c>
      <c r="S1619" s="75" t="str">
        <f t="shared" si="25"/>
        <v>MT_LAKE</v>
      </c>
    </row>
    <row r="1620" spans="17:19" x14ac:dyDescent="0.2">
      <c r="Q1620" s="31" t="s">
        <v>1259</v>
      </c>
      <c r="R1620" s="72" t="s">
        <v>80</v>
      </c>
      <c r="S1620" s="75" t="str">
        <f t="shared" si="25"/>
        <v>MT_LEWIS AND CLARK</v>
      </c>
    </row>
    <row r="1621" spans="17:19" x14ac:dyDescent="0.2">
      <c r="Q1621" s="30" t="s">
        <v>512</v>
      </c>
      <c r="R1621" s="71" t="s">
        <v>80</v>
      </c>
      <c r="S1621" s="75" t="str">
        <f t="shared" si="25"/>
        <v>MT_LIBERTY</v>
      </c>
    </row>
    <row r="1622" spans="17:19" x14ac:dyDescent="0.2">
      <c r="Q1622" s="31" t="s">
        <v>333</v>
      </c>
      <c r="R1622" s="72" t="s">
        <v>80</v>
      </c>
      <c r="S1622" s="75" t="str">
        <f t="shared" si="25"/>
        <v>MT_LINCOLN</v>
      </c>
    </row>
    <row r="1623" spans="17:19" x14ac:dyDescent="0.2">
      <c r="Q1623" s="30" t="s">
        <v>1260</v>
      </c>
      <c r="R1623" s="71" t="s">
        <v>80</v>
      </c>
      <c r="S1623" s="75" t="str">
        <f t="shared" si="25"/>
        <v>MT_MCCONE</v>
      </c>
    </row>
    <row r="1624" spans="17:19" x14ac:dyDescent="0.2">
      <c r="Q1624" s="31" t="s">
        <v>241</v>
      </c>
      <c r="R1624" s="72" t="s">
        <v>80</v>
      </c>
      <c r="S1624" s="75" t="str">
        <f t="shared" si="25"/>
        <v>MT_MADISON</v>
      </c>
    </row>
    <row r="1625" spans="17:19" x14ac:dyDescent="0.2">
      <c r="Q1625" s="30" t="s">
        <v>1261</v>
      </c>
      <c r="R1625" s="71" t="s">
        <v>80</v>
      </c>
      <c r="S1625" s="75" t="str">
        <f t="shared" si="25"/>
        <v>MT_MEAGHER</v>
      </c>
    </row>
    <row r="1626" spans="17:19" x14ac:dyDescent="0.2">
      <c r="Q1626" s="31" t="s">
        <v>451</v>
      </c>
      <c r="R1626" s="72" t="s">
        <v>80</v>
      </c>
      <c r="S1626" s="75" t="str">
        <f t="shared" si="25"/>
        <v>MT_MINERAL</v>
      </c>
    </row>
    <row r="1627" spans="17:19" x14ac:dyDescent="0.2">
      <c r="Q1627" s="30" t="s">
        <v>1262</v>
      </c>
      <c r="R1627" s="71" t="s">
        <v>80</v>
      </c>
      <c r="S1627" s="75" t="str">
        <f t="shared" si="25"/>
        <v>MT_MISSOULA</v>
      </c>
    </row>
    <row r="1628" spans="17:19" x14ac:dyDescent="0.2">
      <c r="Q1628" s="31" t="s">
        <v>1263</v>
      </c>
      <c r="R1628" s="72" t="s">
        <v>80</v>
      </c>
      <c r="S1628" s="75" t="str">
        <f t="shared" si="25"/>
        <v>MT_MUSSELSHELL</v>
      </c>
    </row>
    <row r="1629" spans="17:19" x14ac:dyDescent="0.2">
      <c r="Q1629" s="30" t="s">
        <v>457</v>
      </c>
      <c r="R1629" s="71" t="s">
        <v>80</v>
      </c>
      <c r="S1629" s="75" t="str">
        <f t="shared" si="25"/>
        <v>MT_PARK</v>
      </c>
    </row>
    <row r="1630" spans="17:19" x14ac:dyDescent="0.2">
      <c r="Q1630" s="31" t="s">
        <v>1264</v>
      </c>
      <c r="R1630" s="72" t="s">
        <v>80</v>
      </c>
      <c r="S1630" s="75" t="str">
        <f t="shared" si="25"/>
        <v>MT_PETROLEUM</v>
      </c>
    </row>
    <row r="1631" spans="17:19" x14ac:dyDescent="0.2">
      <c r="Q1631" s="30" t="s">
        <v>342</v>
      </c>
      <c r="R1631" s="71" t="s">
        <v>80</v>
      </c>
      <c r="S1631" s="75" t="str">
        <f t="shared" si="25"/>
        <v>MT_PHILLIPS</v>
      </c>
    </row>
    <row r="1632" spans="17:19" x14ac:dyDescent="0.2">
      <c r="Q1632" s="31" t="s">
        <v>1265</v>
      </c>
      <c r="R1632" s="72" t="s">
        <v>80</v>
      </c>
      <c r="S1632" s="75" t="str">
        <f t="shared" si="25"/>
        <v>MT_PONDERA</v>
      </c>
    </row>
    <row r="1633" spans="17:19" x14ac:dyDescent="0.2">
      <c r="Q1633" s="30" t="s">
        <v>1266</v>
      </c>
      <c r="R1633" s="71" t="s">
        <v>80</v>
      </c>
      <c r="S1633" s="75" t="str">
        <f t="shared" si="25"/>
        <v>MT_POWDER RIVER</v>
      </c>
    </row>
    <row r="1634" spans="17:19" x14ac:dyDescent="0.2">
      <c r="Q1634" s="31" t="s">
        <v>932</v>
      </c>
      <c r="R1634" s="72" t="s">
        <v>80</v>
      </c>
      <c r="S1634" s="75" t="str">
        <f t="shared" si="25"/>
        <v>MT_POWELL</v>
      </c>
    </row>
    <row r="1635" spans="17:19" x14ac:dyDescent="0.2">
      <c r="Q1635" s="30" t="s">
        <v>346</v>
      </c>
      <c r="R1635" s="71" t="s">
        <v>80</v>
      </c>
      <c r="S1635" s="75" t="str">
        <f t="shared" si="25"/>
        <v>MT_PRAIRIE</v>
      </c>
    </row>
    <row r="1636" spans="17:19" x14ac:dyDescent="0.2">
      <c r="Q1636" s="31" t="s">
        <v>1267</v>
      </c>
      <c r="R1636" s="72" t="s">
        <v>80</v>
      </c>
      <c r="S1636" s="75" t="str">
        <f t="shared" si="25"/>
        <v>MT_RAVALLI</v>
      </c>
    </row>
    <row r="1637" spans="17:19" x14ac:dyDescent="0.2">
      <c r="Q1637" s="30" t="s">
        <v>719</v>
      </c>
      <c r="R1637" s="71" t="s">
        <v>80</v>
      </c>
      <c r="S1637" s="75" t="str">
        <f t="shared" si="25"/>
        <v>MT_RICHLAND</v>
      </c>
    </row>
    <row r="1638" spans="17:19" x14ac:dyDescent="0.2">
      <c r="Q1638" s="31" t="s">
        <v>1268</v>
      </c>
      <c r="R1638" s="72" t="s">
        <v>80</v>
      </c>
      <c r="S1638" s="75" t="str">
        <f t="shared" si="25"/>
        <v>MT_ROOSEVELT</v>
      </c>
    </row>
    <row r="1639" spans="17:19" x14ac:dyDescent="0.2">
      <c r="Q1639" s="30" t="s">
        <v>1269</v>
      </c>
      <c r="R1639" s="71" t="s">
        <v>80</v>
      </c>
      <c r="S1639" s="75" t="str">
        <f t="shared" si="25"/>
        <v>MT_ROSEBUD</v>
      </c>
    </row>
    <row r="1640" spans="17:19" x14ac:dyDescent="0.2">
      <c r="Q1640" s="31" t="s">
        <v>1270</v>
      </c>
      <c r="R1640" s="72" t="s">
        <v>80</v>
      </c>
      <c r="S1640" s="75" t="str">
        <f t="shared" si="25"/>
        <v>MT_SANDERS</v>
      </c>
    </row>
    <row r="1641" spans="17:19" x14ac:dyDescent="0.2">
      <c r="Q1641" s="30" t="s">
        <v>872</v>
      </c>
      <c r="R1641" s="71" t="s">
        <v>80</v>
      </c>
      <c r="S1641" s="75" t="str">
        <f t="shared" si="25"/>
        <v>MT_SHERIDAN</v>
      </c>
    </row>
    <row r="1642" spans="17:19" x14ac:dyDescent="0.2">
      <c r="Q1642" s="31" t="s">
        <v>1271</v>
      </c>
      <c r="R1642" s="72" t="s">
        <v>80</v>
      </c>
      <c r="S1642" s="75" t="str">
        <f t="shared" si="25"/>
        <v>MT_SILVER BOW</v>
      </c>
    </row>
    <row r="1643" spans="17:19" x14ac:dyDescent="0.2">
      <c r="Q1643" s="30" t="s">
        <v>1272</v>
      </c>
      <c r="R1643" s="71" t="s">
        <v>80</v>
      </c>
      <c r="S1643" s="75" t="str">
        <f t="shared" si="25"/>
        <v>MT_STILLWATER</v>
      </c>
    </row>
    <row r="1644" spans="17:19" x14ac:dyDescent="0.2">
      <c r="Q1644" s="31" t="s">
        <v>1273</v>
      </c>
      <c r="R1644" s="72" t="s">
        <v>80</v>
      </c>
      <c r="S1644" s="75" t="str">
        <f t="shared" si="25"/>
        <v>MT_SWEET GRASS</v>
      </c>
    </row>
    <row r="1645" spans="17:19" x14ac:dyDescent="0.2">
      <c r="Q1645" s="30" t="s">
        <v>676</v>
      </c>
      <c r="R1645" s="71" t="s">
        <v>80</v>
      </c>
      <c r="S1645" s="75" t="str">
        <f t="shared" si="25"/>
        <v>MT_TETON</v>
      </c>
    </row>
    <row r="1646" spans="17:19" x14ac:dyDescent="0.2">
      <c r="Q1646" s="31" t="s">
        <v>1274</v>
      </c>
      <c r="R1646" s="72" t="s">
        <v>80</v>
      </c>
      <c r="S1646" s="75" t="str">
        <f t="shared" si="25"/>
        <v>MT_TOOLE</v>
      </c>
    </row>
    <row r="1647" spans="17:19" x14ac:dyDescent="0.2">
      <c r="Q1647" s="30" t="s">
        <v>1275</v>
      </c>
      <c r="R1647" s="71" t="s">
        <v>80</v>
      </c>
      <c r="S1647" s="75" t="str">
        <f t="shared" si="25"/>
        <v>MT_TREASURE</v>
      </c>
    </row>
    <row r="1648" spans="17:19" x14ac:dyDescent="0.2">
      <c r="Q1648" s="31" t="s">
        <v>678</v>
      </c>
      <c r="R1648" s="72" t="s">
        <v>80</v>
      </c>
      <c r="S1648" s="75" t="str">
        <f t="shared" si="25"/>
        <v>MT_VALLEY</v>
      </c>
    </row>
    <row r="1649" spans="17:19" x14ac:dyDescent="0.2">
      <c r="Q1649" s="30" t="s">
        <v>1276</v>
      </c>
      <c r="R1649" s="71" t="s">
        <v>80</v>
      </c>
      <c r="S1649" s="75" t="str">
        <f t="shared" si="25"/>
        <v>MT_WHEATLAND</v>
      </c>
    </row>
    <row r="1650" spans="17:19" x14ac:dyDescent="0.2">
      <c r="Q1650" s="31" t="s">
        <v>1277</v>
      </c>
      <c r="R1650" s="72" t="s">
        <v>80</v>
      </c>
      <c r="S1650" s="75" t="str">
        <f t="shared" si="25"/>
        <v>MT_WIBAUX</v>
      </c>
    </row>
    <row r="1651" spans="17:19" x14ac:dyDescent="0.2">
      <c r="Q1651" s="30" t="s">
        <v>1278</v>
      </c>
      <c r="R1651" s="71" t="s">
        <v>80</v>
      </c>
      <c r="S1651" s="75" t="str">
        <f t="shared" si="25"/>
        <v>MT_YELLOWSTONE</v>
      </c>
    </row>
    <row r="1652" spans="17:19" x14ac:dyDescent="0.2">
      <c r="Q1652" s="31" t="s">
        <v>1279</v>
      </c>
      <c r="R1652" s="72" t="s">
        <v>80</v>
      </c>
      <c r="S1652" s="75" t="str">
        <f t="shared" si="25"/>
        <v>MT_YELLOWSTONE NATIONAL PARK</v>
      </c>
    </row>
    <row r="1653" spans="17:19" x14ac:dyDescent="0.2">
      <c r="Q1653" s="30" t="s">
        <v>417</v>
      </c>
      <c r="R1653" s="71" t="s">
        <v>79</v>
      </c>
      <c r="S1653" s="75" t="str">
        <f t="shared" si="25"/>
        <v>NE_ADAMS</v>
      </c>
    </row>
    <row r="1654" spans="17:19" x14ac:dyDescent="0.2">
      <c r="Q1654" s="31" t="s">
        <v>1280</v>
      </c>
      <c r="R1654" s="72" t="s">
        <v>79</v>
      </c>
      <c r="S1654" s="75" t="str">
        <f t="shared" si="25"/>
        <v>NE_ANTELOPE</v>
      </c>
    </row>
    <row r="1655" spans="17:19" x14ac:dyDescent="0.2">
      <c r="Q1655" s="30" t="s">
        <v>1281</v>
      </c>
      <c r="R1655" s="71" t="s">
        <v>79</v>
      </c>
      <c r="S1655" s="75" t="str">
        <f t="shared" si="25"/>
        <v>NE_ARTHUR</v>
      </c>
    </row>
    <row r="1656" spans="17:19" x14ac:dyDescent="0.2">
      <c r="Q1656" s="31" t="s">
        <v>1282</v>
      </c>
      <c r="R1656" s="72" t="s">
        <v>79</v>
      </c>
      <c r="S1656" s="75" t="str">
        <f t="shared" si="25"/>
        <v>NE_BANNER</v>
      </c>
    </row>
    <row r="1657" spans="17:19" x14ac:dyDescent="0.2">
      <c r="Q1657" s="30" t="s">
        <v>651</v>
      </c>
      <c r="R1657" s="71" t="s">
        <v>79</v>
      </c>
      <c r="S1657" s="75" t="str">
        <f t="shared" si="25"/>
        <v>NE_BLAINE</v>
      </c>
    </row>
    <row r="1658" spans="17:19" x14ac:dyDescent="0.2">
      <c r="Q1658" s="31" t="s">
        <v>308</v>
      </c>
      <c r="R1658" s="72" t="s">
        <v>79</v>
      </c>
      <c r="S1658" s="75" t="str">
        <f t="shared" si="25"/>
        <v>NE_BOONE</v>
      </c>
    </row>
    <row r="1659" spans="17:19" x14ac:dyDescent="0.2">
      <c r="Q1659" s="30" t="s">
        <v>1283</v>
      </c>
      <c r="R1659" s="71" t="s">
        <v>79</v>
      </c>
      <c r="S1659" s="75" t="str">
        <f t="shared" si="25"/>
        <v>NE_BOX BUTTE</v>
      </c>
    </row>
    <row r="1660" spans="17:19" x14ac:dyDescent="0.2">
      <c r="Q1660" s="31" t="s">
        <v>890</v>
      </c>
      <c r="R1660" s="72" t="s">
        <v>79</v>
      </c>
      <c r="S1660" s="75" t="str">
        <f t="shared" si="25"/>
        <v>NE_BOYD</v>
      </c>
    </row>
    <row r="1661" spans="17:19" x14ac:dyDescent="0.2">
      <c r="Q1661" s="30" t="s">
        <v>681</v>
      </c>
      <c r="R1661" s="71" t="s">
        <v>79</v>
      </c>
      <c r="S1661" s="75" t="str">
        <f t="shared" si="25"/>
        <v>NE_BROWN</v>
      </c>
    </row>
    <row r="1662" spans="17:19" x14ac:dyDescent="0.2">
      <c r="Q1662" s="31" t="s">
        <v>1284</v>
      </c>
      <c r="R1662" s="72" t="s">
        <v>79</v>
      </c>
      <c r="S1662" s="75" t="str">
        <f t="shared" si="25"/>
        <v>NE_BUFFALO</v>
      </c>
    </row>
    <row r="1663" spans="17:19" x14ac:dyDescent="0.2">
      <c r="Q1663" s="30" t="s">
        <v>1285</v>
      </c>
      <c r="R1663" s="71" t="s">
        <v>79</v>
      </c>
      <c r="S1663" s="75" t="str">
        <f t="shared" si="25"/>
        <v>NE_BURT</v>
      </c>
    </row>
    <row r="1664" spans="17:19" x14ac:dyDescent="0.2">
      <c r="Q1664" s="31" t="s">
        <v>203</v>
      </c>
      <c r="R1664" s="72" t="s">
        <v>79</v>
      </c>
      <c r="S1664" s="75" t="str">
        <f t="shared" si="25"/>
        <v>NE_BUTLER</v>
      </c>
    </row>
    <row r="1665" spans="17:19" x14ac:dyDescent="0.2">
      <c r="Q1665" s="30" t="s">
        <v>683</v>
      </c>
      <c r="R1665" s="71" t="s">
        <v>79</v>
      </c>
      <c r="S1665" s="75" t="str">
        <f t="shared" si="25"/>
        <v>NE_CASS</v>
      </c>
    </row>
    <row r="1666" spans="17:19" x14ac:dyDescent="0.2">
      <c r="Q1666" s="31" t="s">
        <v>782</v>
      </c>
      <c r="R1666" s="72" t="s">
        <v>79</v>
      </c>
      <c r="S1666" s="75" t="str">
        <f t="shared" si="25"/>
        <v>NE_CEDAR</v>
      </c>
    </row>
    <row r="1667" spans="17:19" x14ac:dyDescent="0.2">
      <c r="Q1667" s="30" t="s">
        <v>824</v>
      </c>
      <c r="R1667" s="71" t="s">
        <v>79</v>
      </c>
      <c r="S1667" s="75" t="str">
        <f t="shared" si="25"/>
        <v>NE_CHASE</v>
      </c>
    </row>
    <row r="1668" spans="17:19" x14ac:dyDescent="0.2">
      <c r="Q1668" s="31" t="s">
        <v>1286</v>
      </c>
      <c r="R1668" s="72" t="s">
        <v>79</v>
      </c>
      <c r="S1668" s="75" t="str">
        <f t="shared" ref="S1668:S1731" si="26">UPPER(CONCATENATE(TRIM(R1668),"_",TRIM(Q1668)))</f>
        <v>NE_CHERRY</v>
      </c>
    </row>
    <row r="1669" spans="17:19" x14ac:dyDescent="0.2">
      <c r="Q1669" s="30" t="s">
        <v>425</v>
      </c>
      <c r="R1669" s="71" t="s">
        <v>79</v>
      </c>
      <c r="S1669" s="75" t="str">
        <f t="shared" si="26"/>
        <v>NE_CHEYENNE</v>
      </c>
    </row>
    <row r="1670" spans="17:19" x14ac:dyDescent="0.2">
      <c r="Q1670" s="31" t="s">
        <v>210</v>
      </c>
      <c r="R1670" s="72" t="s">
        <v>79</v>
      </c>
      <c r="S1670" s="75" t="str">
        <f t="shared" si="26"/>
        <v>NE_CLAY</v>
      </c>
    </row>
    <row r="1671" spans="17:19" x14ac:dyDescent="0.2">
      <c r="Q1671" s="30" t="s">
        <v>1287</v>
      </c>
      <c r="R1671" s="71" t="s">
        <v>79</v>
      </c>
      <c r="S1671" s="75" t="str">
        <f t="shared" si="26"/>
        <v>NE_COLFAX</v>
      </c>
    </row>
    <row r="1672" spans="17:19" x14ac:dyDescent="0.2">
      <c r="Q1672" s="31" t="s">
        <v>1288</v>
      </c>
      <c r="R1672" s="72" t="s">
        <v>79</v>
      </c>
      <c r="S1672" s="75" t="str">
        <f t="shared" si="26"/>
        <v>NE_CUMING</v>
      </c>
    </row>
    <row r="1673" spans="17:19" x14ac:dyDescent="0.2">
      <c r="Q1673" s="30" t="s">
        <v>430</v>
      </c>
      <c r="R1673" s="71" t="s">
        <v>79</v>
      </c>
      <c r="S1673" s="75" t="str">
        <f t="shared" si="26"/>
        <v>NE_CUSTER</v>
      </c>
    </row>
    <row r="1674" spans="17:19" x14ac:dyDescent="0.2">
      <c r="Q1674" s="31" t="s">
        <v>1115</v>
      </c>
      <c r="R1674" s="72" t="s">
        <v>79</v>
      </c>
      <c r="S1674" s="75" t="str">
        <f t="shared" si="26"/>
        <v>NE_DAKOTA</v>
      </c>
    </row>
    <row r="1675" spans="17:19" x14ac:dyDescent="0.2">
      <c r="Q1675" s="30" t="s">
        <v>1289</v>
      </c>
      <c r="R1675" s="71" t="s">
        <v>79</v>
      </c>
      <c r="S1675" s="75" t="str">
        <f t="shared" si="26"/>
        <v>NE_DAWES</v>
      </c>
    </row>
    <row r="1676" spans="17:19" x14ac:dyDescent="0.2">
      <c r="Q1676" s="31" t="s">
        <v>562</v>
      </c>
      <c r="R1676" s="72" t="s">
        <v>79</v>
      </c>
      <c r="S1676" s="75" t="str">
        <f t="shared" si="26"/>
        <v>NE_DAWSON</v>
      </c>
    </row>
    <row r="1677" spans="17:19" x14ac:dyDescent="0.2">
      <c r="Q1677" s="30" t="s">
        <v>1290</v>
      </c>
      <c r="R1677" s="71" t="s">
        <v>79</v>
      </c>
      <c r="S1677" s="75" t="str">
        <f t="shared" si="26"/>
        <v>NE_DEUEL</v>
      </c>
    </row>
    <row r="1678" spans="17:19" x14ac:dyDescent="0.2">
      <c r="Q1678" s="31" t="s">
        <v>1291</v>
      </c>
      <c r="R1678" s="72" t="s">
        <v>79</v>
      </c>
      <c r="S1678" s="75" t="str">
        <f t="shared" si="26"/>
        <v>NE_DIXON</v>
      </c>
    </row>
    <row r="1679" spans="17:19" x14ac:dyDescent="0.2">
      <c r="Q1679" s="30" t="s">
        <v>565</v>
      </c>
      <c r="R1679" s="71" t="s">
        <v>79</v>
      </c>
      <c r="S1679" s="75" t="str">
        <f t="shared" si="26"/>
        <v>NE_DODGE</v>
      </c>
    </row>
    <row r="1680" spans="17:19" x14ac:dyDescent="0.2">
      <c r="Q1680" s="31" t="s">
        <v>434</v>
      </c>
      <c r="R1680" s="72" t="s">
        <v>79</v>
      </c>
      <c r="S1680" s="75" t="str">
        <f t="shared" si="26"/>
        <v>NE_DOUGLAS</v>
      </c>
    </row>
    <row r="1681" spans="17:19" x14ac:dyDescent="0.2">
      <c r="Q1681" s="30" t="s">
        <v>1292</v>
      </c>
      <c r="R1681" s="71" t="s">
        <v>79</v>
      </c>
      <c r="S1681" s="75" t="str">
        <f t="shared" si="26"/>
        <v>NE_DUNDY</v>
      </c>
    </row>
    <row r="1682" spans="17:19" x14ac:dyDescent="0.2">
      <c r="Q1682" s="31" t="s">
        <v>1117</v>
      </c>
      <c r="R1682" s="72" t="s">
        <v>79</v>
      </c>
      <c r="S1682" s="75" t="str">
        <f t="shared" si="26"/>
        <v>NE_FILLMORE</v>
      </c>
    </row>
    <row r="1683" spans="17:19" x14ac:dyDescent="0.2">
      <c r="Q1683" s="30" t="s">
        <v>226</v>
      </c>
      <c r="R1683" s="71" t="s">
        <v>79</v>
      </c>
      <c r="S1683" s="75" t="str">
        <f t="shared" si="26"/>
        <v>NE_FRANKLIN</v>
      </c>
    </row>
    <row r="1684" spans="17:19" x14ac:dyDescent="0.2">
      <c r="Q1684" s="31" t="s">
        <v>1293</v>
      </c>
      <c r="R1684" s="72" t="s">
        <v>79</v>
      </c>
      <c r="S1684" s="75" t="str">
        <f t="shared" si="26"/>
        <v>NE_FRONTIER</v>
      </c>
    </row>
    <row r="1685" spans="17:19" x14ac:dyDescent="0.2">
      <c r="Q1685" s="30" t="s">
        <v>1294</v>
      </c>
      <c r="R1685" s="71" t="s">
        <v>79</v>
      </c>
      <c r="S1685" s="75" t="str">
        <f t="shared" si="26"/>
        <v>NE_FURNAS</v>
      </c>
    </row>
    <row r="1686" spans="17:19" x14ac:dyDescent="0.2">
      <c r="Q1686" s="31" t="s">
        <v>1295</v>
      </c>
      <c r="R1686" s="72" t="s">
        <v>79</v>
      </c>
      <c r="S1686" s="75" t="str">
        <f t="shared" si="26"/>
        <v>NE_GAGE</v>
      </c>
    </row>
    <row r="1687" spans="17:19" x14ac:dyDescent="0.2">
      <c r="Q1687" s="30" t="s">
        <v>1296</v>
      </c>
      <c r="R1687" s="71" t="s">
        <v>79</v>
      </c>
      <c r="S1687" s="75" t="str">
        <f t="shared" si="26"/>
        <v>NE_GARDEN</v>
      </c>
    </row>
    <row r="1688" spans="17:19" x14ac:dyDescent="0.2">
      <c r="Q1688" s="31" t="s">
        <v>439</v>
      </c>
      <c r="R1688" s="72" t="s">
        <v>79</v>
      </c>
      <c r="S1688" s="75" t="str">
        <f t="shared" si="26"/>
        <v>NE_GARFIELD</v>
      </c>
    </row>
    <row r="1689" spans="17:19" x14ac:dyDescent="0.2">
      <c r="Q1689" s="30" t="s">
        <v>1297</v>
      </c>
      <c r="R1689" s="71" t="s">
        <v>79</v>
      </c>
      <c r="S1689" s="75" t="str">
        <f t="shared" si="26"/>
        <v>NE_GOSPER</v>
      </c>
    </row>
    <row r="1690" spans="17:19" x14ac:dyDescent="0.2">
      <c r="Q1690" s="31" t="s">
        <v>325</v>
      </c>
      <c r="R1690" s="72" t="s">
        <v>79</v>
      </c>
      <c r="S1690" s="75" t="str">
        <f t="shared" si="26"/>
        <v>NE_GRANT</v>
      </c>
    </row>
    <row r="1691" spans="17:19" x14ac:dyDescent="0.2">
      <c r="Q1691" s="30" t="s">
        <v>838</v>
      </c>
      <c r="R1691" s="71" t="s">
        <v>79</v>
      </c>
      <c r="S1691" s="75" t="str">
        <f t="shared" si="26"/>
        <v>NE_GREELEY</v>
      </c>
    </row>
    <row r="1692" spans="17:19" x14ac:dyDescent="0.2">
      <c r="Q1692" s="31" t="s">
        <v>583</v>
      </c>
      <c r="R1692" s="72" t="s">
        <v>79</v>
      </c>
      <c r="S1692" s="75" t="str">
        <f t="shared" si="26"/>
        <v>NE_HALL</v>
      </c>
    </row>
    <row r="1693" spans="17:19" x14ac:dyDescent="0.2">
      <c r="Q1693" s="30" t="s">
        <v>502</v>
      </c>
      <c r="R1693" s="71" t="s">
        <v>79</v>
      </c>
      <c r="S1693" s="75" t="str">
        <f t="shared" si="26"/>
        <v>NE_HAMILTON</v>
      </c>
    </row>
    <row r="1694" spans="17:19" x14ac:dyDescent="0.2">
      <c r="Q1694" s="31" t="s">
        <v>911</v>
      </c>
      <c r="R1694" s="72" t="s">
        <v>79</v>
      </c>
      <c r="S1694" s="75" t="str">
        <f t="shared" si="26"/>
        <v>NE_HARLAN</v>
      </c>
    </row>
    <row r="1695" spans="17:19" x14ac:dyDescent="0.2">
      <c r="Q1695" s="30" t="s">
        <v>1298</v>
      </c>
      <c r="R1695" s="71" t="s">
        <v>79</v>
      </c>
      <c r="S1695" s="75" t="str">
        <f t="shared" si="26"/>
        <v>NE_HAYES</v>
      </c>
    </row>
    <row r="1696" spans="17:19" x14ac:dyDescent="0.2">
      <c r="Q1696" s="31" t="s">
        <v>1299</v>
      </c>
      <c r="R1696" s="72" t="s">
        <v>79</v>
      </c>
      <c r="S1696" s="75" t="str">
        <f t="shared" si="26"/>
        <v>NE_HITCHCOCK</v>
      </c>
    </row>
    <row r="1697" spans="17:19" x14ac:dyDescent="0.2">
      <c r="Q1697" s="30" t="s">
        <v>1216</v>
      </c>
      <c r="R1697" s="71" t="s">
        <v>79</v>
      </c>
      <c r="S1697" s="75" t="str">
        <f t="shared" si="26"/>
        <v>NE_HOLT</v>
      </c>
    </row>
    <row r="1698" spans="17:19" x14ac:dyDescent="0.2">
      <c r="Q1698" s="31" t="s">
        <v>1300</v>
      </c>
      <c r="R1698" s="72" t="s">
        <v>79</v>
      </c>
      <c r="S1698" s="75" t="str">
        <f t="shared" si="26"/>
        <v>NE_HOOKER</v>
      </c>
    </row>
    <row r="1699" spans="17:19" x14ac:dyDescent="0.2">
      <c r="Q1699" s="30" t="s">
        <v>328</v>
      </c>
      <c r="R1699" s="71" t="s">
        <v>79</v>
      </c>
      <c r="S1699" s="75" t="str">
        <f t="shared" si="26"/>
        <v>NE_HOWARD</v>
      </c>
    </row>
    <row r="1700" spans="17:19" x14ac:dyDescent="0.2">
      <c r="Q1700" s="31" t="s">
        <v>233</v>
      </c>
      <c r="R1700" s="72" t="s">
        <v>79</v>
      </c>
      <c r="S1700" s="75" t="str">
        <f t="shared" si="26"/>
        <v>NE_JEFFERSON</v>
      </c>
    </row>
    <row r="1701" spans="17:19" x14ac:dyDescent="0.2">
      <c r="Q1701" s="30" t="s">
        <v>331</v>
      </c>
      <c r="R1701" s="71" t="s">
        <v>79</v>
      </c>
      <c r="S1701" s="75" t="str">
        <f t="shared" si="26"/>
        <v>NE_JOHNSON</v>
      </c>
    </row>
    <row r="1702" spans="17:19" x14ac:dyDescent="0.2">
      <c r="Q1702" s="31" t="s">
        <v>1301</v>
      </c>
      <c r="R1702" s="72" t="s">
        <v>79</v>
      </c>
      <c r="S1702" s="75" t="str">
        <f t="shared" si="26"/>
        <v>NE_KEARNEY</v>
      </c>
    </row>
    <row r="1703" spans="17:19" x14ac:dyDescent="0.2">
      <c r="Q1703" s="30" t="s">
        <v>1302</v>
      </c>
      <c r="R1703" s="71" t="s">
        <v>79</v>
      </c>
      <c r="S1703" s="75" t="str">
        <f t="shared" si="26"/>
        <v>NE_KEITH</v>
      </c>
    </row>
    <row r="1704" spans="17:19" x14ac:dyDescent="0.2">
      <c r="Q1704" s="31" t="s">
        <v>1303</v>
      </c>
      <c r="R1704" s="72" t="s">
        <v>79</v>
      </c>
      <c r="S1704" s="75" t="str">
        <f t="shared" si="26"/>
        <v>NE_KEYA PAHA</v>
      </c>
    </row>
    <row r="1705" spans="17:19" x14ac:dyDescent="0.2">
      <c r="Q1705" s="30" t="s">
        <v>1304</v>
      </c>
      <c r="R1705" s="71" t="s">
        <v>79</v>
      </c>
      <c r="S1705" s="75" t="str">
        <f t="shared" si="26"/>
        <v>NE_KIMBALL</v>
      </c>
    </row>
    <row r="1706" spans="17:19" x14ac:dyDescent="0.2">
      <c r="Q1706" s="31" t="s">
        <v>704</v>
      </c>
      <c r="R1706" s="72" t="s">
        <v>79</v>
      </c>
      <c r="S1706" s="75" t="str">
        <f t="shared" si="26"/>
        <v>NE_KNOX</v>
      </c>
    </row>
    <row r="1707" spans="17:19" x14ac:dyDescent="0.2">
      <c r="Q1707" s="30" t="s">
        <v>1305</v>
      </c>
      <c r="R1707" s="71" t="s">
        <v>79</v>
      </c>
      <c r="S1707" s="75" t="str">
        <f t="shared" si="26"/>
        <v>NE_LANCASTER</v>
      </c>
    </row>
    <row r="1708" spans="17:19" x14ac:dyDescent="0.2">
      <c r="Q1708" s="31" t="s">
        <v>333</v>
      </c>
      <c r="R1708" s="72" t="s">
        <v>79</v>
      </c>
      <c r="S1708" s="75" t="str">
        <f t="shared" si="26"/>
        <v>NE_LINCOLN</v>
      </c>
    </row>
    <row r="1709" spans="17:19" x14ac:dyDescent="0.2">
      <c r="Q1709" s="30" t="s">
        <v>335</v>
      </c>
      <c r="R1709" s="71" t="s">
        <v>79</v>
      </c>
      <c r="S1709" s="75" t="str">
        <f t="shared" si="26"/>
        <v>NE_LOGAN</v>
      </c>
    </row>
    <row r="1710" spans="17:19" x14ac:dyDescent="0.2">
      <c r="Q1710" s="31" t="s">
        <v>1306</v>
      </c>
      <c r="R1710" s="72" t="s">
        <v>79</v>
      </c>
      <c r="S1710" s="75" t="str">
        <f t="shared" si="26"/>
        <v>NE_LOUP</v>
      </c>
    </row>
    <row r="1711" spans="17:19" x14ac:dyDescent="0.2">
      <c r="Q1711" s="30" t="s">
        <v>850</v>
      </c>
      <c r="R1711" s="71" t="s">
        <v>79</v>
      </c>
      <c r="S1711" s="75" t="str">
        <f t="shared" si="26"/>
        <v>NE_MCPHERSON</v>
      </c>
    </row>
    <row r="1712" spans="17:19" x14ac:dyDescent="0.2">
      <c r="Q1712" s="31" t="s">
        <v>241</v>
      </c>
      <c r="R1712" s="72" t="s">
        <v>79</v>
      </c>
      <c r="S1712" s="75" t="str">
        <f t="shared" si="26"/>
        <v>NE_MADISON</v>
      </c>
    </row>
    <row r="1713" spans="17:19" x14ac:dyDescent="0.2">
      <c r="Q1713" s="30" t="s">
        <v>1307</v>
      </c>
      <c r="R1713" s="71" t="s">
        <v>79</v>
      </c>
      <c r="S1713" s="75" t="str">
        <f t="shared" si="26"/>
        <v>NE_MERRICK</v>
      </c>
    </row>
    <row r="1714" spans="17:19" x14ac:dyDescent="0.2">
      <c r="Q1714" s="31" t="s">
        <v>1308</v>
      </c>
      <c r="R1714" s="72" t="s">
        <v>79</v>
      </c>
      <c r="S1714" s="75" t="str">
        <f t="shared" si="26"/>
        <v>NE_MORRILL</v>
      </c>
    </row>
    <row r="1715" spans="17:19" x14ac:dyDescent="0.2">
      <c r="Q1715" s="30" t="s">
        <v>1309</v>
      </c>
      <c r="R1715" s="71" t="s">
        <v>79</v>
      </c>
      <c r="S1715" s="75" t="str">
        <f t="shared" si="26"/>
        <v>NE_NANCE</v>
      </c>
    </row>
    <row r="1716" spans="17:19" x14ac:dyDescent="0.2">
      <c r="Q1716" s="31" t="s">
        <v>854</v>
      </c>
      <c r="R1716" s="72" t="s">
        <v>79</v>
      </c>
      <c r="S1716" s="75" t="str">
        <f t="shared" si="26"/>
        <v>NE_NEMAHA</v>
      </c>
    </row>
    <row r="1717" spans="17:19" x14ac:dyDescent="0.2">
      <c r="Q1717" s="30" t="s">
        <v>1310</v>
      </c>
      <c r="R1717" s="71" t="s">
        <v>79</v>
      </c>
      <c r="S1717" s="75" t="str">
        <f t="shared" si="26"/>
        <v>NE_NUCKOLLS</v>
      </c>
    </row>
    <row r="1718" spans="17:19" x14ac:dyDescent="0.2">
      <c r="Q1718" s="31" t="s">
        <v>1311</v>
      </c>
      <c r="R1718" s="72" t="s">
        <v>79</v>
      </c>
      <c r="S1718" s="75" t="str">
        <f t="shared" si="26"/>
        <v>NE_OTOE</v>
      </c>
    </row>
    <row r="1719" spans="17:19" x14ac:dyDescent="0.2">
      <c r="Q1719" s="30" t="s">
        <v>861</v>
      </c>
      <c r="R1719" s="71" t="s">
        <v>79</v>
      </c>
      <c r="S1719" s="75" t="str">
        <f t="shared" si="26"/>
        <v>NE_PAWNEE</v>
      </c>
    </row>
    <row r="1720" spans="17:19" x14ac:dyDescent="0.2">
      <c r="Q1720" s="31" t="s">
        <v>1312</v>
      </c>
      <c r="R1720" s="72" t="s">
        <v>79</v>
      </c>
      <c r="S1720" s="75" t="str">
        <f t="shared" si="26"/>
        <v>NE_PERKINS</v>
      </c>
    </row>
    <row r="1721" spans="17:19" x14ac:dyDescent="0.2">
      <c r="Q1721" s="30" t="s">
        <v>1228</v>
      </c>
      <c r="R1721" s="71" t="s">
        <v>79</v>
      </c>
      <c r="S1721" s="75" t="str">
        <f t="shared" si="26"/>
        <v>NE_PHELPS</v>
      </c>
    </row>
    <row r="1722" spans="17:19" x14ac:dyDescent="0.2">
      <c r="Q1722" s="31" t="s">
        <v>608</v>
      </c>
      <c r="R1722" s="72" t="s">
        <v>79</v>
      </c>
      <c r="S1722" s="75" t="str">
        <f t="shared" si="26"/>
        <v>NE_PIERCE</v>
      </c>
    </row>
    <row r="1723" spans="17:19" x14ac:dyDescent="0.2">
      <c r="Q1723" s="30" t="s">
        <v>1229</v>
      </c>
      <c r="R1723" s="71" t="s">
        <v>79</v>
      </c>
      <c r="S1723" s="75" t="str">
        <f t="shared" si="26"/>
        <v>NE_PLATTE</v>
      </c>
    </row>
    <row r="1724" spans="17:19" x14ac:dyDescent="0.2">
      <c r="Q1724" s="31" t="s">
        <v>344</v>
      </c>
      <c r="R1724" s="72" t="s">
        <v>79</v>
      </c>
      <c r="S1724" s="75" t="str">
        <f t="shared" si="26"/>
        <v>NE_POLK</v>
      </c>
    </row>
    <row r="1725" spans="17:19" x14ac:dyDescent="0.2">
      <c r="Q1725" s="30" t="s">
        <v>1313</v>
      </c>
      <c r="R1725" s="71" t="s">
        <v>79</v>
      </c>
      <c r="S1725" s="75" t="str">
        <f t="shared" si="26"/>
        <v>NE_RED WILLOW</v>
      </c>
    </row>
    <row r="1726" spans="17:19" x14ac:dyDescent="0.2">
      <c r="Q1726" s="31" t="s">
        <v>1314</v>
      </c>
      <c r="R1726" s="72" t="s">
        <v>79</v>
      </c>
      <c r="S1726" s="75" t="str">
        <f t="shared" si="26"/>
        <v>NE_RICHARDSON</v>
      </c>
    </row>
    <row r="1727" spans="17:19" x14ac:dyDescent="0.2">
      <c r="Q1727" s="30" t="s">
        <v>1149</v>
      </c>
      <c r="R1727" s="71" t="s">
        <v>79</v>
      </c>
      <c r="S1727" s="75" t="str">
        <f t="shared" si="26"/>
        <v>NE_ROCK</v>
      </c>
    </row>
    <row r="1728" spans="17:19" x14ac:dyDescent="0.2">
      <c r="Q1728" s="31" t="s">
        <v>349</v>
      </c>
      <c r="R1728" s="72" t="s">
        <v>79</v>
      </c>
      <c r="S1728" s="75" t="str">
        <f t="shared" si="26"/>
        <v>NE_SALINE</v>
      </c>
    </row>
    <row r="1729" spans="17:19" x14ac:dyDescent="0.2">
      <c r="Q1729" s="30" t="s">
        <v>1315</v>
      </c>
      <c r="R1729" s="71" t="s">
        <v>79</v>
      </c>
      <c r="S1729" s="75" t="str">
        <f t="shared" si="26"/>
        <v>NE_SARPY</v>
      </c>
    </row>
    <row r="1730" spans="17:19" x14ac:dyDescent="0.2">
      <c r="Q1730" s="31" t="s">
        <v>1316</v>
      </c>
      <c r="R1730" s="72" t="s">
        <v>79</v>
      </c>
      <c r="S1730" s="75" t="str">
        <f t="shared" si="26"/>
        <v>NE_SAUNDERS</v>
      </c>
    </row>
    <row r="1731" spans="17:19" x14ac:dyDescent="0.2">
      <c r="Q1731" s="30" t="s">
        <v>1317</v>
      </c>
      <c r="R1731" s="71" t="s">
        <v>79</v>
      </c>
      <c r="S1731" s="75" t="str">
        <f t="shared" si="26"/>
        <v>NE_SCOTTS BLUFF</v>
      </c>
    </row>
    <row r="1732" spans="17:19" x14ac:dyDescent="0.2">
      <c r="Q1732" s="31" t="s">
        <v>870</v>
      </c>
      <c r="R1732" s="72" t="s">
        <v>79</v>
      </c>
      <c r="S1732" s="75" t="str">
        <f t="shared" ref="S1732:S1795" si="27">UPPER(CONCATENATE(TRIM(R1732),"_",TRIM(Q1732)))</f>
        <v>NE_SEWARD</v>
      </c>
    </row>
    <row r="1733" spans="17:19" x14ac:dyDescent="0.2">
      <c r="Q1733" s="30" t="s">
        <v>872</v>
      </c>
      <c r="R1733" s="71" t="s">
        <v>79</v>
      </c>
      <c r="S1733" s="75" t="str">
        <f t="shared" si="27"/>
        <v>NE_SHERIDAN</v>
      </c>
    </row>
    <row r="1734" spans="17:19" x14ac:dyDescent="0.2">
      <c r="Q1734" s="31" t="s">
        <v>873</v>
      </c>
      <c r="R1734" s="72" t="s">
        <v>79</v>
      </c>
      <c r="S1734" s="75" t="str">
        <f t="shared" si="27"/>
        <v>NE_SHERMAN</v>
      </c>
    </row>
    <row r="1735" spans="17:19" x14ac:dyDescent="0.2">
      <c r="Q1735" s="30" t="s">
        <v>812</v>
      </c>
      <c r="R1735" s="71" t="s">
        <v>79</v>
      </c>
      <c r="S1735" s="75" t="str">
        <f t="shared" si="27"/>
        <v>NE_SIOUX</v>
      </c>
    </row>
    <row r="1736" spans="17:19" x14ac:dyDescent="0.2">
      <c r="Q1736" s="31" t="s">
        <v>876</v>
      </c>
      <c r="R1736" s="72" t="s">
        <v>79</v>
      </c>
      <c r="S1736" s="75" t="str">
        <f t="shared" si="27"/>
        <v>NE_STANTON</v>
      </c>
    </row>
    <row r="1737" spans="17:19" x14ac:dyDescent="0.2">
      <c r="Q1737" s="30" t="s">
        <v>1318</v>
      </c>
      <c r="R1737" s="71" t="s">
        <v>79</v>
      </c>
      <c r="S1737" s="75" t="str">
        <f t="shared" si="27"/>
        <v>NE_THAYER</v>
      </c>
    </row>
    <row r="1738" spans="17:19" x14ac:dyDescent="0.2">
      <c r="Q1738" s="31" t="s">
        <v>623</v>
      </c>
      <c r="R1738" s="72" t="s">
        <v>79</v>
      </c>
      <c r="S1738" s="75" t="str">
        <f t="shared" si="27"/>
        <v>NE_THOMAS</v>
      </c>
    </row>
    <row r="1739" spans="17:19" x14ac:dyDescent="0.2">
      <c r="Q1739" s="30" t="s">
        <v>1319</v>
      </c>
      <c r="R1739" s="71" t="s">
        <v>79</v>
      </c>
      <c r="S1739" s="75" t="str">
        <f t="shared" si="27"/>
        <v>NE_THURSTON</v>
      </c>
    </row>
    <row r="1740" spans="17:19" x14ac:dyDescent="0.2">
      <c r="Q1740" s="31" t="s">
        <v>678</v>
      </c>
      <c r="R1740" s="72" t="s">
        <v>79</v>
      </c>
      <c r="S1740" s="75" t="str">
        <f t="shared" si="27"/>
        <v>NE_VALLEY</v>
      </c>
    </row>
    <row r="1741" spans="17:19" x14ac:dyDescent="0.2">
      <c r="Q1741" s="30" t="s">
        <v>261</v>
      </c>
      <c r="R1741" s="71" t="s">
        <v>79</v>
      </c>
      <c r="S1741" s="75" t="str">
        <f t="shared" si="27"/>
        <v>NE_WASHINGTON</v>
      </c>
    </row>
    <row r="1742" spans="17:19" x14ac:dyDescent="0.2">
      <c r="Q1742" s="31" t="s">
        <v>634</v>
      </c>
      <c r="R1742" s="72" t="s">
        <v>79</v>
      </c>
      <c r="S1742" s="75" t="str">
        <f t="shared" si="27"/>
        <v>NE_WAYNE</v>
      </c>
    </row>
    <row r="1743" spans="17:19" x14ac:dyDescent="0.2">
      <c r="Q1743" s="30" t="s">
        <v>635</v>
      </c>
      <c r="R1743" s="71" t="s">
        <v>79</v>
      </c>
      <c r="S1743" s="75" t="str">
        <f t="shared" si="27"/>
        <v>NE_WEBSTER</v>
      </c>
    </row>
    <row r="1744" spans="17:19" x14ac:dyDescent="0.2">
      <c r="Q1744" s="31" t="s">
        <v>636</v>
      </c>
      <c r="R1744" s="72" t="s">
        <v>79</v>
      </c>
      <c r="S1744" s="75" t="str">
        <f t="shared" si="27"/>
        <v>NE_WHEELER</v>
      </c>
    </row>
    <row r="1745" spans="17:19" x14ac:dyDescent="0.2">
      <c r="Q1745" s="30" t="s">
        <v>1014</v>
      </c>
      <c r="R1745" s="71" t="s">
        <v>79</v>
      </c>
      <c r="S1745" s="75" t="str">
        <f t="shared" si="27"/>
        <v>NE_YORK</v>
      </c>
    </row>
    <row r="1746" spans="17:19" x14ac:dyDescent="0.2">
      <c r="Q1746" s="31" t="s">
        <v>1320</v>
      </c>
      <c r="R1746" s="72" t="s">
        <v>78</v>
      </c>
      <c r="S1746" s="75" t="str">
        <f t="shared" si="27"/>
        <v>NV_CHURCHILL</v>
      </c>
    </row>
    <row r="1747" spans="17:19" x14ac:dyDescent="0.2">
      <c r="Q1747" s="30" t="s">
        <v>312</v>
      </c>
      <c r="R1747" s="71" t="s">
        <v>78</v>
      </c>
      <c r="S1747" s="75" t="str">
        <f t="shared" si="27"/>
        <v>NV_CLARK</v>
      </c>
    </row>
    <row r="1748" spans="17:19" x14ac:dyDescent="0.2">
      <c r="Q1748" s="31" t="s">
        <v>434</v>
      </c>
      <c r="R1748" s="72" t="s">
        <v>78</v>
      </c>
      <c r="S1748" s="75" t="str">
        <f t="shared" si="27"/>
        <v>NV_DOUGLAS</v>
      </c>
    </row>
    <row r="1749" spans="17:19" x14ac:dyDescent="0.2">
      <c r="Q1749" s="30" t="s">
        <v>1321</v>
      </c>
      <c r="R1749" s="71" t="s">
        <v>78</v>
      </c>
      <c r="S1749" s="75" t="str">
        <f t="shared" si="27"/>
        <v>NV_ELKO</v>
      </c>
    </row>
    <row r="1750" spans="17:19" x14ac:dyDescent="0.2">
      <c r="Q1750" s="31" t="s">
        <v>1322</v>
      </c>
      <c r="R1750" s="72" t="s">
        <v>78</v>
      </c>
      <c r="S1750" s="75" t="str">
        <f t="shared" si="27"/>
        <v>NV_ESMERALDA</v>
      </c>
    </row>
    <row r="1751" spans="17:19" x14ac:dyDescent="0.2">
      <c r="Q1751" s="30" t="s">
        <v>1323</v>
      </c>
      <c r="R1751" s="71" t="s">
        <v>78</v>
      </c>
      <c r="S1751" s="75" t="str">
        <f t="shared" si="27"/>
        <v>NV_EUREKA</v>
      </c>
    </row>
    <row r="1752" spans="17:19" x14ac:dyDescent="0.2">
      <c r="Q1752" s="31" t="s">
        <v>372</v>
      </c>
      <c r="R1752" s="72" t="s">
        <v>78</v>
      </c>
      <c r="S1752" s="75" t="str">
        <f t="shared" si="27"/>
        <v>NV_HUMBOLDT</v>
      </c>
    </row>
    <row r="1753" spans="17:19" x14ac:dyDescent="0.2">
      <c r="Q1753" s="30" t="s">
        <v>1324</v>
      </c>
      <c r="R1753" s="71" t="s">
        <v>78</v>
      </c>
      <c r="S1753" s="75" t="str">
        <f t="shared" si="27"/>
        <v>NV_LANDER</v>
      </c>
    </row>
    <row r="1754" spans="17:19" x14ac:dyDescent="0.2">
      <c r="Q1754" s="31" t="s">
        <v>333</v>
      </c>
      <c r="R1754" s="72" t="s">
        <v>78</v>
      </c>
      <c r="S1754" s="75" t="str">
        <f t="shared" si="27"/>
        <v>NV_LINCOLN</v>
      </c>
    </row>
    <row r="1755" spans="17:19" x14ac:dyDescent="0.2">
      <c r="Q1755" s="30" t="s">
        <v>798</v>
      </c>
      <c r="R1755" s="71" t="s">
        <v>78</v>
      </c>
      <c r="S1755" s="75" t="str">
        <f t="shared" si="27"/>
        <v>NV_LYON</v>
      </c>
    </row>
    <row r="1756" spans="17:19" x14ac:dyDescent="0.2">
      <c r="Q1756" s="31" t="s">
        <v>451</v>
      </c>
      <c r="R1756" s="72" t="s">
        <v>78</v>
      </c>
      <c r="S1756" s="75" t="str">
        <f t="shared" si="27"/>
        <v>NV_MINERAL</v>
      </c>
    </row>
    <row r="1757" spans="17:19" x14ac:dyDescent="0.2">
      <c r="Q1757" s="30" t="s">
        <v>1325</v>
      </c>
      <c r="R1757" s="71" t="s">
        <v>78</v>
      </c>
      <c r="S1757" s="75" t="str">
        <f t="shared" si="27"/>
        <v>NV_NYE</v>
      </c>
    </row>
    <row r="1758" spans="17:19" x14ac:dyDescent="0.2">
      <c r="Q1758" s="31" t="s">
        <v>1326</v>
      </c>
      <c r="R1758" s="72" t="s">
        <v>78</v>
      </c>
      <c r="S1758" s="75" t="str">
        <f t="shared" si="27"/>
        <v>NV_PERSHING</v>
      </c>
    </row>
    <row r="1759" spans="17:19" x14ac:dyDescent="0.2">
      <c r="Q1759" s="30" t="s">
        <v>1327</v>
      </c>
      <c r="R1759" s="71" t="s">
        <v>78</v>
      </c>
      <c r="S1759" s="75" t="str">
        <f t="shared" si="27"/>
        <v>NV_STOREY</v>
      </c>
    </row>
    <row r="1760" spans="17:19" x14ac:dyDescent="0.2">
      <c r="Q1760" s="31" t="s">
        <v>1328</v>
      </c>
      <c r="R1760" s="72" t="s">
        <v>78</v>
      </c>
      <c r="S1760" s="75" t="str">
        <f t="shared" si="27"/>
        <v>NV_WASHOE</v>
      </c>
    </row>
    <row r="1761" spans="17:19" x14ac:dyDescent="0.2">
      <c r="Q1761" s="30" t="s">
        <v>1329</v>
      </c>
      <c r="R1761" s="71" t="s">
        <v>78</v>
      </c>
      <c r="S1761" s="75" t="str">
        <f t="shared" si="27"/>
        <v>NV_WHITE PINE</v>
      </c>
    </row>
    <row r="1762" spans="17:19" x14ac:dyDescent="0.2">
      <c r="Q1762" s="31" t="s">
        <v>1330</v>
      </c>
      <c r="R1762" s="72" t="s">
        <v>78</v>
      </c>
      <c r="S1762" s="75" t="str">
        <f t="shared" si="27"/>
        <v>NV_CARSON CITY</v>
      </c>
    </row>
    <row r="1763" spans="17:19" x14ac:dyDescent="0.2">
      <c r="Q1763" s="30" t="s">
        <v>1331</v>
      </c>
      <c r="R1763" s="71" t="s">
        <v>77</v>
      </c>
      <c r="S1763" s="75" t="str">
        <f t="shared" si="27"/>
        <v>NH_BELKNAP</v>
      </c>
    </row>
    <row r="1764" spans="17:19" x14ac:dyDescent="0.2">
      <c r="Q1764" s="31" t="s">
        <v>310</v>
      </c>
      <c r="R1764" s="72" t="s">
        <v>77</v>
      </c>
      <c r="S1764" s="75" t="str">
        <f t="shared" si="27"/>
        <v>NH_CARROLL</v>
      </c>
    </row>
    <row r="1765" spans="17:19" x14ac:dyDescent="0.2">
      <c r="Q1765" s="30" t="s">
        <v>1332</v>
      </c>
      <c r="R1765" s="71" t="s">
        <v>77</v>
      </c>
      <c r="S1765" s="75" t="str">
        <f t="shared" si="27"/>
        <v>NH_CHESHIRE</v>
      </c>
    </row>
    <row r="1766" spans="17:19" x14ac:dyDescent="0.2">
      <c r="Q1766" s="31" t="s">
        <v>1333</v>
      </c>
      <c r="R1766" s="72" t="s">
        <v>77</v>
      </c>
      <c r="S1766" s="75" t="str">
        <f t="shared" si="27"/>
        <v>NH_COOS</v>
      </c>
    </row>
    <row r="1767" spans="17:19" x14ac:dyDescent="0.2">
      <c r="Q1767" s="30" t="s">
        <v>1334</v>
      </c>
      <c r="R1767" s="71" t="s">
        <v>77</v>
      </c>
      <c r="S1767" s="75" t="str">
        <f t="shared" si="27"/>
        <v>NH_GRAFTON</v>
      </c>
    </row>
    <row r="1768" spans="17:19" x14ac:dyDescent="0.2">
      <c r="Q1768" s="31" t="s">
        <v>507</v>
      </c>
      <c r="R1768" s="72" t="s">
        <v>77</v>
      </c>
      <c r="S1768" s="75" t="str">
        <f t="shared" si="27"/>
        <v>NH_HILLSBOROUGH</v>
      </c>
    </row>
    <row r="1769" spans="17:19" x14ac:dyDescent="0.2">
      <c r="Q1769" s="30" t="s">
        <v>1335</v>
      </c>
      <c r="R1769" s="71" t="s">
        <v>77</v>
      </c>
      <c r="S1769" s="75" t="str">
        <f t="shared" si="27"/>
        <v>NH_MERRIMACK</v>
      </c>
    </row>
    <row r="1770" spans="17:19" x14ac:dyDescent="0.2">
      <c r="Q1770" s="31" t="s">
        <v>1336</v>
      </c>
      <c r="R1770" s="72" t="s">
        <v>77</v>
      </c>
      <c r="S1770" s="75" t="str">
        <f t="shared" si="27"/>
        <v>NH_ROCKINGHAM</v>
      </c>
    </row>
    <row r="1771" spans="17:19" x14ac:dyDescent="0.2">
      <c r="Q1771" s="30" t="s">
        <v>1337</v>
      </c>
      <c r="R1771" s="71" t="s">
        <v>77</v>
      </c>
      <c r="S1771" s="75" t="str">
        <f t="shared" si="27"/>
        <v>NH_STRAFFORD</v>
      </c>
    </row>
    <row r="1772" spans="17:19" x14ac:dyDescent="0.2">
      <c r="Q1772" s="31" t="s">
        <v>764</v>
      </c>
      <c r="R1772" s="72" t="s">
        <v>77</v>
      </c>
      <c r="S1772" s="75" t="str">
        <f t="shared" si="27"/>
        <v>NH_SULLIVAN</v>
      </c>
    </row>
    <row r="1773" spans="17:19" x14ac:dyDescent="0.2">
      <c r="Q1773" s="30" t="s">
        <v>1338</v>
      </c>
      <c r="R1773" s="71" t="s">
        <v>76</v>
      </c>
      <c r="S1773" s="75" t="str">
        <f t="shared" si="27"/>
        <v>NJ_ATLANTIC</v>
      </c>
    </row>
    <row r="1774" spans="17:19" x14ac:dyDescent="0.2">
      <c r="Q1774" s="31" t="s">
        <v>1339</v>
      </c>
      <c r="R1774" s="72" t="s">
        <v>76</v>
      </c>
      <c r="S1774" s="75" t="str">
        <f t="shared" si="27"/>
        <v>NJ_BERGEN</v>
      </c>
    </row>
    <row r="1775" spans="17:19" x14ac:dyDescent="0.2">
      <c r="Q1775" s="30" t="s">
        <v>1340</v>
      </c>
      <c r="R1775" s="71" t="s">
        <v>76</v>
      </c>
      <c r="S1775" s="75" t="str">
        <f t="shared" si="27"/>
        <v>NJ_BURLINGTON</v>
      </c>
    </row>
    <row r="1776" spans="17:19" x14ac:dyDescent="0.2">
      <c r="Q1776" s="31" t="s">
        <v>548</v>
      </c>
      <c r="R1776" s="72" t="s">
        <v>76</v>
      </c>
      <c r="S1776" s="75" t="str">
        <f t="shared" si="27"/>
        <v>NJ_CAMDEN</v>
      </c>
    </row>
    <row r="1777" spans="17:19" x14ac:dyDescent="0.2">
      <c r="Q1777" s="30" t="s">
        <v>1341</v>
      </c>
      <c r="R1777" s="71" t="s">
        <v>76</v>
      </c>
      <c r="S1777" s="75" t="str">
        <f t="shared" si="27"/>
        <v>NJ_CAPE MAY</v>
      </c>
    </row>
    <row r="1778" spans="17:19" x14ac:dyDescent="0.2">
      <c r="Q1778" s="31" t="s">
        <v>688</v>
      </c>
      <c r="R1778" s="72" t="s">
        <v>76</v>
      </c>
      <c r="S1778" s="75" t="str">
        <f t="shared" si="27"/>
        <v>NJ_CUMBERLAND</v>
      </c>
    </row>
    <row r="1779" spans="17:19" x14ac:dyDescent="0.2">
      <c r="Q1779" s="30" t="s">
        <v>1036</v>
      </c>
      <c r="R1779" s="71" t="s">
        <v>76</v>
      </c>
      <c r="S1779" s="75" t="str">
        <f t="shared" si="27"/>
        <v>NJ_ESSEX</v>
      </c>
    </row>
    <row r="1780" spans="17:19" x14ac:dyDescent="0.2">
      <c r="Q1780" s="31" t="s">
        <v>1342</v>
      </c>
      <c r="R1780" s="72" t="s">
        <v>76</v>
      </c>
      <c r="S1780" s="75" t="str">
        <f t="shared" si="27"/>
        <v>NJ_GLOUCESTER</v>
      </c>
    </row>
    <row r="1781" spans="17:19" x14ac:dyDescent="0.2">
      <c r="Q1781" s="30" t="s">
        <v>1343</v>
      </c>
      <c r="R1781" s="71" t="s">
        <v>76</v>
      </c>
      <c r="S1781" s="75" t="str">
        <f t="shared" si="27"/>
        <v>NJ_HUDSON</v>
      </c>
    </row>
    <row r="1782" spans="17:19" x14ac:dyDescent="0.2">
      <c r="Q1782" s="31" t="s">
        <v>1344</v>
      </c>
      <c r="R1782" s="72" t="s">
        <v>76</v>
      </c>
      <c r="S1782" s="75" t="str">
        <f t="shared" si="27"/>
        <v>NJ_HUNTERDON</v>
      </c>
    </row>
    <row r="1783" spans="17:19" x14ac:dyDescent="0.2">
      <c r="Q1783" s="30" t="s">
        <v>714</v>
      </c>
      <c r="R1783" s="71" t="s">
        <v>76</v>
      </c>
      <c r="S1783" s="75" t="str">
        <f t="shared" si="27"/>
        <v>NJ_MERCER</v>
      </c>
    </row>
    <row r="1784" spans="17:19" x14ac:dyDescent="0.2">
      <c r="Q1784" s="31" t="s">
        <v>474</v>
      </c>
      <c r="R1784" s="72" t="s">
        <v>76</v>
      </c>
      <c r="S1784" s="75" t="str">
        <f t="shared" si="27"/>
        <v>NJ_MIDDLESEX</v>
      </c>
    </row>
    <row r="1785" spans="17:19" x14ac:dyDescent="0.2">
      <c r="Q1785" s="30" t="s">
        <v>1345</v>
      </c>
      <c r="R1785" s="71" t="s">
        <v>76</v>
      </c>
      <c r="S1785" s="75" t="str">
        <f t="shared" si="27"/>
        <v>NJ_MONMOUTH</v>
      </c>
    </row>
    <row r="1786" spans="17:19" x14ac:dyDescent="0.2">
      <c r="Q1786" s="31" t="s">
        <v>852</v>
      </c>
      <c r="R1786" s="72" t="s">
        <v>76</v>
      </c>
      <c r="S1786" s="75" t="str">
        <f t="shared" si="27"/>
        <v>NJ_MORRIS</v>
      </c>
    </row>
    <row r="1787" spans="17:19" x14ac:dyDescent="0.2">
      <c r="Q1787" s="30" t="s">
        <v>1346</v>
      </c>
      <c r="R1787" s="71" t="s">
        <v>76</v>
      </c>
      <c r="S1787" s="75" t="str">
        <f t="shared" si="27"/>
        <v>NJ_OCEAN</v>
      </c>
    </row>
    <row r="1788" spans="17:19" x14ac:dyDescent="0.2">
      <c r="Q1788" s="31" t="s">
        <v>1347</v>
      </c>
      <c r="R1788" s="72" t="s">
        <v>76</v>
      </c>
      <c r="S1788" s="75" t="str">
        <f t="shared" si="27"/>
        <v>NJ_PASSAIC</v>
      </c>
    </row>
    <row r="1789" spans="17:19" x14ac:dyDescent="0.2">
      <c r="Q1789" s="30" t="s">
        <v>1348</v>
      </c>
      <c r="R1789" s="71" t="s">
        <v>76</v>
      </c>
      <c r="S1789" s="75" t="str">
        <f t="shared" si="27"/>
        <v>NJ_SALEM</v>
      </c>
    </row>
    <row r="1790" spans="17:19" x14ac:dyDescent="0.2">
      <c r="Q1790" s="31" t="s">
        <v>1012</v>
      </c>
      <c r="R1790" s="72" t="s">
        <v>76</v>
      </c>
      <c r="S1790" s="75" t="str">
        <f t="shared" si="27"/>
        <v>NJ_SOMERSET</v>
      </c>
    </row>
    <row r="1791" spans="17:19" x14ac:dyDescent="0.2">
      <c r="Q1791" s="30" t="s">
        <v>481</v>
      </c>
      <c r="R1791" s="71" t="s">
        <v>76</v>
      </c>
      <c r="S1791" s="75" t="str">
        <f t="shared" si="27"/>
        <v>NJ_SUSSEX</v>
      </c>
    </row>
    <row r="1792" spans="17:19" x14ac:dyDescent="0.2">
      <c r="Q1792" s="31" t="s">
        <v>356</v>
      </c>
      <c r="R1792" s="72" t="s">
        <v>76</v>
      </c>
      <c r="S1792" s="75" t="str">
        <f t="shared" si="27"/>
        <v>NJ_UNION</v>
      </c>
    </row>
    <row r="1793" spans="17:19" x14ac:dyDescent="0.2">
      <c r="Q1793" s="30" t="s">
        <v>633</v>
      </c>
      <c r="R1793" s="71" t="s">
        <v>76</v>
      </c>
      <c r="S1793" s="75" t="str">
        <f t="shared" si="27"/>
        <v>NJ_WARREN</v>
      </c>
    </row>
    <row r="1794" spans="17:19" x14ac:dyDescent="0.2">
      <c r="Q1794" s="31" t="s">
        <v>1349</v>
      </c>
      <c r="R1794" s="72" t="s">
        <v>75</v>
      </c>
      <c r="S1794" s="75" t="str">
        <f t="shared" si="27"/>
        <v>NM_BERNALILLO</v>
      </c>
    </row>
    <row r="1795" spans="17:19" x14ac:dyDescent="0.2">
      <c r="Q1795" s="30" t="s">
        <v>1350</v>
      </c>
      <c r="R1795" s="71" t="s">
        <v>75</v>
      </c>
      <c r="S1795" s="75" t="str">
        <f t="shared" si="27"/>
        <v>NM_CATRON</v>
      </c>
    </row>
    <row r="1796" spans="17:19" x14ac:dyDescent="0.2">
      <c r="Q1796" s="31" t="s">
        <v>1351</v>
      </c>
      <c r="R1796" s="72" t="s">
        <v>75</v>
      </c>
      <c r="S1796" s="75" t="str">
        <f t="shared" ref="S1796:S1859" si="28">UPPER(CONCATENATE(TRIM(R1796),"_",TRIM(Q1796)))</f>
        <v>NM_CHAVES</v>
      </c>
    </row>
    <row r="1797" spans="17:19" x14ac:dyDescent="0.2">
      <c r="Q1797" s="30" t="s">
        <v>1352</v>
      </c>
      <c r="R1797" s="71" t="s">
        <v>75</v>
      </c>
      <c r="S1797" s="75" t="str">
        <f t="shared" si="28"/>
        <v>NM_CIBOLA</v>
      </c>
    </row>
    <row r="1798" spans="17:19" x14ac:dyDescent="0.2">
      <c r="Q1798" s="31" t="s">
        <v>1287</v>
      </c>
      <c r="R1798" s="72" t="s">
        <v>75</v>
      </c>
      <c r="S1798" s="75" t="str">
        <f t="shared" si="28"/>
        <v>NM_COLFAX</v>
      </c>
    </row>
    <row r="1799" spans="17:19" x14ac:dyDescent="0.2">
      <c r="Q1799" s="30" t="s">
        <v>1353</v>
      </c>
      <c r="R1799" s="71" t="s">
        <v>75</v>
      </c>
      <c r="S1799" s="75" t="str">
        <f t="shared" si="28"/>
        <v>NM_CURRY</v>
      </c>
    </row>
    <row r="1800" spans="17:19" x14ac:dyDescent="0.2">
      <c r="Q1800" s="31" t="s">
        <v>1354</v>
      </c>
      <c r="R1800" s="72" t="s">
        <v>75</v>
      </c>
      <c r="S1800" s="75" t="str">
        <f t="shared" si="28"/>
        <v>NM_DEBACA</v>
      </c>
    </row>
    <row r="1801" spans="17:19" x14ac:dyDescent="0.2">
      <c r="Q1801" s="30" t="s">
        <v>1355</v>
      </c>
      <c r="R1801" s="71" t="s">
        <v>75</v>
      </c>
      <c r="S1801" s="75" t="str">
        <f t="shared" si="28"/>
        <v>NM_DONA ANA</v>
      </c>
    </row>
    <row r="1802" spans="17:19" x14ac:dyDescent="0.2">
      <c r="Q1802" s="31" t="s">
        <v>1356</v>
      </c>
      <c r="R1802" s="72" t="s">
        <v>75</v>
      </c>
      <c r="S1802" s="75" t="str">
        <f t="shared" si="28"/>
        <v>NM_EDDY</v>
      </c>
    </row>
    <row r="1803" spans="17:19" x14ac:dyDescent="0.2">
      <c r="Q1803" s="30" t="s">
        <v>325</v>
      </c>
      <c r="R1803" s="71" t="s">
        <v>75</v>
      </c>
      <c r="S1803" s="75" t="str">
        <f t="shared" si="28"/>
        <v>NM_GRANT</v>
      </c>
    </row>
    <row r="1804" spans="17:19" x14ac:dyDescent="0.2">
      <c r="Q1804" s="31" t="s">
        <v>1357</v>
      </c>
      <c r="R1804" s="72" t="s">
        <v>75</v>
      </c>
      <c r="S1804" s="75" t="str">
        <f t="shared" si="28"/>
        <v>NM_GUADALUPE</v>
      </c>
    </row>
    <row r="1805" spans="17:19" x14ac:dyDescent="0.2">
      <c r="Q1805" s="30" t="s">
        <v>1358</v>
      </c>
      <c r="R1805" s="71" t="s">
        <v>75</v>
      </c>
      <c r="S1805" s="75" t="str">
        <f t="shared" si="28"/>
        <v>NM_HARDING</v>
      </c>
    </row>
    <row r="1806" spans="17:19" x14ac:dyDescent="0.2">
      <c r="Q1806" s="31" t="s">
        <v>1359</v>
      </c>
      <c r="R1806" s="72" t="s">
        <v>75</v>
      </c>
      <c r="S1806" s="75" t="str">
        <f t="shared" si="28"/>
        <v>NM_HIDALGO</v>
      </c>
    </row>
    <row r="1807" spans="17:19" x14ac:dyDescent="0.2">
      <c r="Q1807" s="30" t="s">
        <v>1360</v>
      </c>
      <c r="R1807" s="71" t="s">
        <v>75</v>
      </c>
      <c r="S1807" s="75" t="str">
        <f t="shared" si="28"/>
        <v>NM_LEA</v>
      </c>
    </row>
    <row r="1808" spans="17:19" x14ac:dyDescent="0.2">
      <c r="Q1808" s="31" t="s">
        <v>333</v>
      </c>
      <c r="R1808" s="72" t="s">
        <v>75</v>
      </c>
      <c r="S1808" s="75" t="str">
        <f t="shared" si="28"/>
        <v>NM_LINCOLN</v>
      </c>
    </row>
    <row r="1809" spans="17:19" x14ac:dyDescent="0.2">
      <c r="Q1809" s="30" t="s">
        <v>1361</v>
      </c>
      <c r="R1809" s="71" t="s">
        <v>75</v>
      </c>
      <c r="S1809" s="75" t="str">
        <f t="shared" si="28"/>
        <v>NM_LOS ALAMOS</v>
      </c>
    </row>
    <row r="1810" spans="17:19" x14ac:dyDescent="0.2">
      <c r="Q1810" s="31" t="s">
        <v>1362</v>
      </c>
      <c r="R1810" s="72" t="s">
        <v>75</v>
      </c>
      <c r="S1810" s="75" t="str">
        <f t="shared" si="28"/>
        <v>NM_LUNA</v>
      </c>
    </row>
    <row r="1811" spans="17:19" x14ac:dyDescent="0.2">
      <c r="Q1811" s="30" t="s">
        <v>1363</v>
      </c>
      <c r="R1811" s="71" t="s">
        <v>75</v>
      </c>
      <c r="S1811" s="75" t="str">
        <f t="shared" si="28"/>
        <v>NM_MCKINLEY</v>
      </c>
    </row>
    <row r="1812" spans="17:19" x14ac:dyDescent="0.2">
      <c r="Q1812" s="31" t="s">
        <v>1364</v>
      </c>
      <c r="R1812" s="72" t="s">
        <v>75</v>
      </c>
      <c r="S1812" s="75" t="str">
        <f t="shared" si="28"/>
        <v>NM_MORA</v>
      </c>
    </row>
    <row r="1813" spans="17:19" x14ac:dyDescent="0.2">
      <c r="Q1813" s="30" t="s">
        <v>455</v>
      </c>
      <c r="R1813" s="71" t="s">
        <v>75</v>
      </c>
      <c r="S1813" s="75" t="str">
        <f t="shared" si="28"/>
        <v>NM_OTERO</v>
      </c>
    </row>
    <row r="1814" spans="17:19" x14ac:dyDescent="0.2">
      <c r="Q1814" s="31" t="s">
        <v>1365</v>
      </c>
      <c r="R1814" s="72" t="s">
        <v>75</v>
      </c>
      <c r="S1814" s="75" t="str">
        <f t="shared" si="28"/>
        <v>NM_QUAY</v>
      </c>
    </row>
    <row r="1815" spans="17:19" x14ac:dyDescent="0.2">
      <c r="Q1815" s="30" t="s">
        <v>1366</v>
      </c>
      <c r="R1815" s="71" t="s">
        <v>75</v>
      </c>
      <c r="S1815" s="75" t="str">
        <f t="shared" si="28"/>
        <v>NM_RIO ARRIBA</v>
      </c>
    </row>
    <row r="1816" spans="17:19" x14ac:dyDescent="0.2">
      <c r="Q1816" s="31" t="s">
        <v>1268</v>
      </c>
      <c r="R1816" s="72" t="s">
        <v>75</v>
      </c>
      <c r="S1816" s="75" t="str">
        <f t="shared" si="28"/>
        <v>NM_ROOSEVELT</v>
      </c>
    </row>
    <row r="1817" spans="17:19" x14ac:dyDescent="0.2">
      <c r="Q1817" s="30" t="s">
        <v>1367</v>
      </c>
      <c r="R1817" s="71" t="s">
        <v>75</v>
      </c>
      <c r="S1817" s="75" t="str">
        <f t="shared" si="28"/>
        <v>NM_SANDOVAL</v>
      </c>
    </row>
    <row r="1818" spans="17:19" x14ac:dyDescent="0.2">
      <c r="Q1818" s="31" t="s">
        <v>465</v>
      </c>
      <c r="R1818" s="72" t="s">
        <v>75</v>
      </c>
      <c r="S1818" s="75" t="str">
        <f t="shared" si="28"/>
        <v>NM_SAN JUAN</v>
      </c>
    </row>
    <row r="1819" spans="17:19" x14ac:dyDescent="0.2">
      <c r="Q1819" s="30" t="s">
        <v>466</v>
      </c>
      <c r="R1819" s="71" t="s">
        <v>75</v>
      </c>
      <c r="S1819" s="75" t="str">
        <f t="shared" si="28"/>
        <v>NM_SAN MIGUEL</v>
      </c>
    </row>
    <row r="1820" spans="17:19" x14ac:dyDescent="0.2">
      <c r="Q1820" s="31" t="s">
        <v>1368</v>
      </c>
      <c r="R1820" s="72" t="s">
        <v>75</v>
      </c>
      <c r="S1820" s="75" t="str">
        <f t="shared" si="28"/>
        <v>NM_SANTA FE</v>
      </c>
    </row>
    <row r="1821" spans="17:19" x14ac:dyDescent="0.2">
      <c r="Q1821" s="30" t="s">
        <v>404</v>
      </c>
      <c r="R1821" s="71" t="s">
        <v>75</v>
      </c>
      <c r="S1821" s="75" t="str">
        <f t="shared" si="28"/>
        <v>NM_SIERRA</v>
      </c>
    </row>
    <row r="1822" spans="17:19" x14ac:dyDescent="0.2">
      <c r="Q1822" s="31" t="s">
        <v>1369</v>
      </c>
      <c r="R1822" s="72" t="s">
        <v>75</v>
      </c>
      <c r="S1822" s="75" t="str">
        <f t="shared" si="28"/>
        <v>NM_SOCORRO</v>
      </c>
    </row>
    <row r="1823" spans="17:19" x14ac:dyDescent="0.2">
      <c r="Q1823" s="30" t="s">
        <v>1370</v>
      </c>
      <c r="R1823" s="71" t="s">
        <v>75</v>
      </c>
      <c r="S1823" s="75" t="str">
        <f t="shared" si="28"/>
        <v>NM_TAOS</v>
      </c>
    </row>
    <row r="1824" spans="17:19" x14ac:dyDescent="0.2">
      <c r="Q1824" s="31" t="s">
        <v>1371</v>
      </c>
      <c r="R1824" s="72" t="s">
        <v>75</v>
      </c>
      <c r="S1824" s="75" t="str">
        <f t="shared" si="28"/>
        <v>NM_TORRANCE</v>
      </c>
    </row>
    <row r="1825" spans="17:19" x14ac:dyDescent="0.2">
      <c r="Q1825" s="30" t="s">
        <v>356</v>
      </c>
      <c r="R1825" s="71" t="s">
        <v>75</v>
      </c>
      <c r="S1825" s="75" t="str">
        <f t="shared" si="28"/>
        <v>NM_UNION</v>
      </c>
    </row>
    <row r="1826" spans="17:19" x14ac:dyDescent="0.2">
      <c r="Q1826" s="31" t="s">
        <v>1372</v>
      </c>
      <c r="R1826" s="72" t="s">
        <v>75</v>
      </c>
      <c r="S1826" s="75" t="str">
        <f t="shared" si="28"/>
        <v>NM_VALENCIA</v>
      </c>
    </row>
    <row r="1827" spans="17:19" x14ac:dyDescent="0.2">
      <c r="Q1827" s="30" t="s">
        <v>1373</v>
      </c>
      <c r="R1827" s="71" t="s">
        <v>55</v>
      </c>
      <c r="S1827" s="75" t="str">
        <f t="shared" si="28"/>
        <v>NY_ALBANY</v>
      </c>
    </row>
    <row r="1828" spans="17:19" x14ac:dyDescent="0.2">
      <c r="Q1828" s="31" t="s">
        <v>1015</v>
      </c>
      <c r="R1828" s="72" t="s">
        <v>55</v>
      </c>
      <c r="S1828" s="75" t="str">
        <f t="shared" si="28"/>
        <v>NY_ALLEGANY</v>
      </c>
    </row>
    <row r="1829" spans="17:19" x14ac:dyDescent="0.2">
      <c r="Q1829" s="30" t="s">
        <v>1374</v>
      </c>
      <c r="R1829" s="71" t="s">
        <v>55</v>
      </c>
      <c r="S1829" s="75" t="str">
        <f t="shared" si="28"/>
        <v>NY_BRONX</v>
      </c>
    </row>
    <row r="1830" spans="17:19" x14ac:dyDescent="0.2">
      <c r="Q1830" s="31" t="s">
        <v>1375</v>
      </c>
      <c r="R1830" s="72" t="s">
        <v>55</v>
      </c>
      <c r="S1830" s="75" t="str">
        <f t="shared" si="28"/>
        <v>NY_BROOME</v>
      </c>
    </row>
    <row r="1831" spans="17:19" x14ac:dyDescent="0.2">
      <c r="Q1831" s="30" t="s">
        <v>1376</v>
      </c>
      <c r="R1831" s="71" t="s">
        <v>55</v>
      </c>
      <c r="S1831" s="75" t="str">
        <f t="shared" si="28"/>
        <v>NY_CATTARAUGUS</v>
      </c>
    </row>
    <row r="1832" spans="17:19" x14ac:dyDescent="0.2">
      <c r="Q1832" s="31" t="s">
        <v>1377</v>
      </c>
      <c r="R1832" s="72" t="s">
        <v>55</v>
      </c>
      <c r="S1832" s="75" t="str">
        <f t="shared" si="28"/>
        <v>NY_CAYUGA</v>
      </c>
    </row>
    <row r="1833" spans="17:19" x14ac:dyDescent="0.2">
      <c r="Q1833" s="30" t="s">
        <v>825</v>
      </c>
      <c r="R1833" s="71" t="s">
        <v>55</v>
      </c>
      <c r="S1833" s="75" t="str">
        <f t="shared" si="28"/>
        <v>NY_CHAUTAUQUA</v>
      </c>
    </row>
    <row r="1834" spans="17:19" x14ac:dyDescent="0.2">
      <c r="Q1834" s="31" t="s">
        <v>1378</v>
      </c>
      <c r="R1834" s="72" t="s">
        <v>55</v>
      </c>
      <c r="S1834" s="75" t="str">
        <f t="shared" si="28"/>
        <v>NY_CHEMUNG</v>
      </c>
    </row>
    <row r="1835" spans="17:19" x14ac:dyDescent="0.2">
      <c r="Q1835" s="30" t="s">
        <v>1379</v>
      </c>
      <c r="R1835" s="71" t="s">
        <v>55</v>
      </c>
      <c r="S1835" s="75" t="str">
        <f t="shared" si="28"/>
        <v>NY_CHENANGO</v>
      </c>
    </row>
    <row r="1836" spans="17:19" x14ac:dyDescent="0.2">
      <c r="Q1836" s="31" t="s">
        <v>686</v>
      </c>
      <c r="R1836" s="72" t="s">
        <v>55</v>
      </c>
      <c r="S1836" s="75" t="str">
        <f t="shared" si="28"/>
        <v>NY_CLINTON</v>
      </c>
    </row>
    <row r="1837" spans="17:19" x14ac:dyDescent="0.2">
      <c r="Q1837" s="30" t="s">
        <v>314</v>
      </c>
      <c r="R1837" s="71" t="s">
        <v>55</v>
      </c>
      <c r="S1837" s="75" t="str">
        <f t="shared" si="28"/>
        <v>NY_COLUMBIA</v>
      </c>
    </row>
    <row r="1838" spans="17:19" x14ac:dyDescent="0.2">
      <c r="Q1838" s="31" t="s">
        <v>1380</v>
      </c>
      <c r="R1838" s="72" t="s">
        <v>55</v>
      </c>
      <c r="S1838" s="75" t="str">
        <f t="shared" si="28"/>
        <v>NY_CORTLAND</v>
      </c>
    </row>
    <row r="1839" spans="17:19" x14ac:dyDescent="0.2">
      <c r="Q1839" s="30" t="s">
        <v>738</v>
      </c>
      <c r="R1839" s="71" t="s">
        <v>55</v>
      </c>
      <c r="S1839" s="75" t="str">
        <f t="shared" si="28"/>
        <v>NY_DELAWARE</v>
      </c>
    </row>
    <row r="1840" spans="17:19" x14ac:dyDescent="0.2">
      <c r="Q1840" s="31" t="s">
        <v>1381</v>
      </c>
      <c r="R1840" s="72" t="s">
        <v>55</v>
      </c>
      <c r="S1840" s="75" t="str">
        <f t="shared" si="28"/>
        <v>NY_DUTCHESS</v>
      </c>
    </row>
    <row r="1841" spans="17:19" x14ac:dyDescent="0.2">
      <c r="Q1841" s="30" t="s">
        <v>1382</v>
      </c>
      <c r="R1841" s="71" t="s">
        <v>55</v>
      </c>
      <c r="S1841" s="75" t="str">
        <f t="shared" si="28"/>
        <v>NY_ERIE</v>
      </c>
    </row>
    <row r="1842" spans="17:19" x14ac:dyDescent="0.2">
      <c r="Q1842" s="31" t="s">
        <v>1036</v>
      </c>
      <c r="R1842" s="72" t="s">
        <v>55</v>
      </c>
      <c r="S1842" s="75" t="str">
        <f t="shared" si="28"/>
        <v>NY_ESSEX</v>
      </c>
    </row>
    <row r="1843" spans="17:19" x14ac:dyDescent="0.2">
      <c r="Q1843" s="30" t="s">
        <v>226</v>
      </c>
      <c r="R1843" s="71" t="s">
        <v>55</v>
      </c>
      <c r="S1843" s="75" t="str">
        <f t="shared" si="28"/>
        <v>NY_FRANKLIN</v>
      </c>
    </row>
    <row r="1844" spans="17:19" x14ac:dyDescent="0.2">
      <c r="Q1844" s="31" t="s">
        <v>323</v>
      </c>
      <c r="R1844" s="72" t="s">
        <v>55</v>
      </c>
      <c r="S1844" s="75" t="str">
        <f t="shared" si="28"/>
        <v>NY_FULTON</v>
      </c>
    </row>
    <row r="1845" spans="17:19" x14ac:dyDescent="0.2">
      <c r="Q1845" s="30" t="s">
        <v>1057</v>
      </c>
      <c r="R1845" s="71" t="s">
        <v>55</v>
      </c>
      <c r="S1845" s="75" t="str">
        <f t="shared" si="28"/>
        <v>NY_GENESEE</v>
      </c>
    </row>
    <row r="1846" spans="17:19" x14ac:dyDescent="0.2">
      <c r="Q1846" s="31" t="s">
        <v>228</v>
      </c>
      <c r="R1846" s="72" t="s">
        <v>55</v>
      </c>
      <c r="S1846" s="75" t="str">
        <f t="shared" si="28"/>
        <v>NY_GREENE</v>
      </c>
    </row>
    <row r="1847" spans="17:19" x14ac:dyDescent="0.2">
      <c r="Q1847" s="30" t="s">
        <v>502</v>
      </c>
      <c r="R1847" s="71" t="s">
        <v>55</v>
      </c>
      <c r="S1847" s="75" t="str">
        <f t="shared" si="28"/>
        <v>NY_HAMILTON</v>
      </c>
    </row>
    <row r="1848" spans="17:19" x14ac:dyDescent="0.2">
      <c r="Q1848" s="31" t="s">
        <v>1383</v>
      </c>
      <c r="R1848" s="72" t="s">
        <v>55</v>
      </c>
      <c r="S1848" s="75" t="str">
        <f t="shared" si="28"/>
        <v>NY_HERKIMER</v>
      </c>
    </row>
    <row r="1849" spans="17:19" x14ac:dyDescent="0.2">
      <c r="Q1849" s="30" t="s">
        <v>233</v>
      </c>
      <c r="R1849" s="71" t="s">
        <v>55</v>
      </c>
      <c r="S1849" s="75" t="str">
        <f t="shared" si="28"/>
        <v>NY_JEFFERSON</v>
      </c>
    </row>
    <row r="1850" spans="17:19" x14ac:dyDescent="0.2">
      <c r="Q1850" s="31" t="s">
        <v>376</v>
      </c>
      <c r="R1850" s="72" t="s">
        <v>55</v>
      </c>
      <c r="S1850" s="75" t="str">
        <f t="shared" si="28"/>
        <v>NY_KINGS</v>
      </c>
    </row>
    <row r="1851" spans="17:19" x14ac:dyDescent="0.2">
      <c r="Q1851" s="30" t="s">
        <v>668</v>
      </c>
      <c r="R1851" s="71" t="s">
        <v>55</v>
      </c>
      <c r="S1851" s="75" t="str">
        <f t="shared" si="28"/>
        <v>NY_LEWIS</v>
      </c>
    </row>
    <row r="1852" spans="17:19" x14ac:dyDescent="0.2">
      <c r="Q1852" s="31" t="s">
        <v>706</v>
      </c>
      <c r="R1852" s="72" t="s">
        <v>55</v>
      </c>
      <c r="S1852" s="75" t="str">
        <f t="shared" si="28"/>
        <v>NY_LIVINGSTON</v>
      </c>
    </row>
    <row r="1853" spans="17:19" x14ac:dyDescent="0.2">
      <c r="Q1853" s="30" t="s">
        <v>241</v>
      </c>
      <c r="R1853" s="71" t="s">
        <v>55</v>
      </c>
      <c r="S1853" s="75" t="str">
        <f t="shared" si="28"/>
        <v>NY_MADISON</v>
      </c>
    </row>
    <row r="1854" spans="17:19" x14ac:dyDescent="0.2">
      <c r="Q1854" s="31" t="s">
        <v>246</v>
      </c>
      <c r="R1854" s="72" t="s">
        <v>55</v>
      </c>
      <c r="S1854" s="75" t="str">
        <f t="shared" si="28"/>
        <v>NY_MONROE</v>
      </c>
    </row>
    <row r="1855" spans="17:19" x14ac:dyDescent="0.2">
      <c r="Q1855" s="30" t="s">
        <v>247</v>
      </c>
      <c r="R1855" s="71" t="s">
        <v>55</v>
      </c>
      <c r="S1855" s="75" t="str">
        <f t="shared" si="28"/>
        <v>NY_MONTGOMERY</v>
      </c>
    </row>
    <row r="1856" spans="17:19" x14ac:dyDescent="0.2">
      <c r="Q1856" s="31" t="s">
        <v>515</v>
      </c>
      <c r="R1856" s="72" t="s">
        <v>55</v>
      </c>
      <c r="S1856" s="75" t="str">
        <f t="shared" si="28"/>
        <v>NY_NASSAU</v>
      </c>
    </row>
    <row r="1857" spans="17:19" x14ac:dyDescent="0.2">
      <c r="Q1857" s="30" t="s">
        <v>1384</v>
      </c>
      <c r="R1857" s="71" t="s">
        <v>55</v>
      </c>
      <c r="S1857" s="75" t="str">
        <f t="shared" si="28"/>
        <v>NY_NEW YORK</v>
      </c>
    </row>
    <row r="1858" spans="17:19" x14ac:dyDescent="0.2">
      <c r="Q1858" s="31" t="s">
        <v>1385</v>
      </c>
      <c r="R1858" s="72" t="s">
        <v>55</v>
      </c>
      <c r="S1858" s="75" t="str">
        <f t="shared" si="28"/>
        <v>NY_NIAGARA</v>
      </c>
    </row>
    <row r="1859" spans="17:19" x14ac:dyDescent="0.2">
      <c r="Q1859" s="30" t="s">
        <v>671</v>
      </c>
      <c r="R1859" s="71" t="s">
        <v>55</v>
      </c>
      <c r="S1859" s="75" t="str">
        <f t="shared" si="28"/>
        <v>NY_ONEIDA</v>
      </c>
    </row>
    <row r="1860" spans="17:19" x14ac:dyDescent="0.2">
      <c r="Q1860" s="31" t="s">
        <v>1386</v>
      </c>
      <c r="R1860" s="72" t="s">
        <v>55</v>
      </c>
      <c r="S1860" s="75" t="str">
        <f t="shared" ref="S1860:S1923" si="29">UPPER(CONCATENATE(TRIM(R1860),"_",TRIM(Q1860)))</f>
        <v>NY_ONONDAGA</v>
      </c>
    </row>
    <row r="1861" spans="17:19" x14ac:dyDescent="0.2">
      <c r="Q1861" s="30" t="s">
        <v>1387</v>
      </c>
      <c r="R1861" s="71" t="s">
        <v>55</v>
      </c>
      <c r="S1861" s="75" t="str">
        <f t="shared" si="29"/>
        <v>NY_ONTARIO</v>
      </c>
    </row>
    <row r="1862" spans="17:19" x14ac:dyDescent="0.2">
      <c r="Q1862" s="31" t="s">
        <v>389</v>
      </c>
      <c r="R1862" s="72" t="s">
        <v>55</v>
      </c>
      <c r="S1862" s="75" t="str">
        <f t="shared" si="29"/>
        <v>NY_ORANGE</v>
      </c>
    </row>
    <row r="1863" spans="17:19" x14ac:dyDescent="0.2">
      <c r="Q1863" s="30" t="s">
        <v>1388</v>
      </c>
      <c r="R1863" s="71" t="s">
        <v>55</v>
      </c>
      <c r="S1863" s="75" t="str">
        <f t="shared" si="29"/>
        <v>NY_ORLEANS</v>
      </c>
    </row>
    <row r="1864" spans="17:19" x14ac:dyDescent="0.2">
      <c r="Q1864" s="31" t="s">
        <v>1389</v>
      </c>
      <c r="R1864" s="72" t="s">
        <v>55</v>
      </c>
      <c r="S1864" s="75" t="str">
        <f t="shared" si="29"/>
        <v>NY_OSWEGO</v>
      </c>
    </row>
    <row r="1865" spans="17:19" x14ac:dyDescent="0.2">
      <c r="Q1865" s="30" t="s">
        <v>1094</v>
      </c>
      <c r="R1865" s="71" t="s">
        <v>55</v>
      </c>
      <c r="S1865" s="75" t="str">
        <f t="shared" si="29"/>
        <v>NY_OTSEGO</v>
      </c>
    </row>
    <row r="1866" spans="17:19" x14ac:dyDescent="0.2">
      <c r="Q1866" s="31" t="s">
        <v>522</v>
      </c>
      <c r="R1866" s="72" t="s">
        <v>55</v>
      </c>
      <c r="S1866" s="75" t="str">
        <f t="shared" si="29"/>
        <v>NY_PUTNAM</v>
      </c>
    </row>
    <row r="1867" spans="17:19" x14ac:dyDescent="0.2">
      <c r="Q1867" s="30" t="s">
        <v>1390</v>
      </c>
      <c r="R1867" s="71" t="s">
        <v>55</v>
      </c>
      <c r="S1867" s="75" t="str">
        <f t="shared" si="29"/>
        <v>NY_QUEENS</v>
      </c>
    </row>
    <row r="1868" spans="17:19" x14ac:dyDescent="0.2">
      <c r="Q1868" s="31" t="s">
        <v>1391</v>
      </c>
      <c r="R1868" s="72" t="s">
        <v>55</v>
      </c>
      <c r="S1868" s="75" t="str">
        <f t="shared" si="29"/>
        <v>NY_RENSSELAER</v>
      </c>
    </row>
    <row r="1869" spans="17:19" x14ac:dyDescent="0.2">
      <c r="Q1869" s="30" t="s">
        <v>611</v>
      </c>
      <c r="R1869" s="71" t="s">
        <v>55</v>
      </c>
      <c r="S1869" s="75" t="str">
        <f t="shared" si="29"/>
        <v>NY_RICHMOND</v>
      </c>
    </row>
    <row r="1870" spans="17:19" x14ac:dyDescent="0.2">
      <c r="Q1870" s="31" t="s">
        <v>1392</v>
      </c>
      <c r="R1870" s="72" t="s">
        <v>55</v>
      </c>
      <c r="S1870" s="75" t="str">
        <f t="shared" si="29"/>
        <v>NY_ROCKLAND</v>
      </c>
    </row>
    <row r="1871" spans="17:19" x14ac:dyDescent="0.2">
      <c r="Q1871" s="30" t="s">
        <v>1393</v>
      </c>
      <c r="R1871" s="71" t="s">
        <v>55</v>
      </c>
      <c r="S1871" s="75" t="str">
        <f t="shared" si="29"/>
        <v>NY_ST. LAWRENCE</v>
      </c>
    </row>
    <row r="1872" spans="17:19" x14ac:dyDescent="0.2">
      <c r="Q1872" s="31" t="s">
        <v>1394</v>
      </c>
      <c r="R1872" s="72" t="s">
        <v>55</v>
      </c>
      <c r="S1872" s="75" t="str">
        <f t="shared" si="29"/>
        <v>NY_SARATOGA</v>
      </c>
    </row>
    <row r="1873" spans="17:19" x14ac:dyDescent="0.2">
      <c r="Q1873" s="30" t="s">
        <v>1395</v>
      </c>
      <c r="R1873" s="71" t="s">
        <v>55</v>
      </c>
      <c r="S1873" s="75" t="str">
        <f t="shared" si="29"/>
        <v>NY_SCHENECTADY</v>
      </c>
    </row>
    <row r="1874" spans="17:19" x14ac:dyDescent="0.2">
      <c r="Q1874" s="31" t="s">
        <v>1396</v>
      </c>
      <c r="R1874" s="72" t="s">
        <v>55</v>
      </c>
      <c r="S1874" s="75" t="str">
        <f t="shared" si="29"/>
        <v>NY_SCHOHARIE</v>
      </c>
    </row>
    <row r="1875" spans="17:19" x14ac:dyDescent="0.2">
      <c r="Q1875" s="30" t="s">
        <v>722</v>
      </c>
      <c r="R1875" s="71" t="s">
        <v>55</v>
      </c>
      <c r="S1875" s="75" t="str">
        <f t="shared" si="29"/>
        <v>NY_SCHUYLER</v>
      </c>
    </row>
    <row r="1876" spans="17:19" x14ac:dyDescent="0.2">
      <c r="Q1876" s="31" t="s">
        <v>1397</v>
      </c>
      <c r="R1876" s="72" t="s">
        <v>55</v>
      </c>
      <c r="S1876" s="75" t="str">
        <f t="shared" si="29"/>
        <v>NY_SENECA</v>
      </c>
    </row>
    <row r="1877" spans="17:19" x14ac:dyDescent="0.2">
      <c r="Q1877" s="30" t="s">
        <v>763</v>
      </c>
      <c r="R1877" s="71" t="s">
        <v>55</v>
      </c>
      <c r="S1877" s="75" t="str">
        <f t="shared" si="29"/>
        <v>NY_STEUBEN</v>
      </c>
    </row>
    <row r="1878" spans="17:19" x14ac:dyDescent="0.2">
      <c r="Q1878" s="31" t="s">
        <v>1041</v>
      </c>
      <c r="R1878" s="72" t="s">
        <v>55</v>
      </c>
      <c r="S1878" s="75" t="str">
        <f t="shared" si="29"/>
        <v>NY_SUFFOLK</v>
      </c>
    </row>
    <row r="1879" spans="17:19" x14ac:dyDescent="0.2">
      <c r="Q1879" s="30" t="s">
        <v>764</v>
      </c>
      <c r="R1879" s="71" t="s">
        <v>55</v>
      </c>
      <c r="S1879" s="75" t="str">
        <f t="shared" si="29"/>
        <v>NY_SULLIVAN</v>
      </c>
    </row>
    <row r="1880" spans="17:19" x14ac:dyDescent="0.2">
      <c r="Q1880" s="31" t="s">
        <v>1398</v>
      </c>
      <c r="R1880" s="72" t="s">
        <v>55</v>
      </c>
      <c r="S1880" s="75" t="str">
        <f t="shared" si="29"/>
        <v>NY_TIOGA</v>
      </c>
    </row>
    <row r="1881" spans="17:19" x14ac:dyDescent="0.2">
      <c r="Q1881" s="30" t="s">
        <v>1399</v>
      </c>
      <c r="R1881" s="71" t="s">
        <v>55</v>
      </c>
      <c r="S1881" s="75" t="str">
        <f t="shared" si="29"/>
        <v>NY_TOMPKINS</v>
      </c>
    </row>
    <row r="1882" spans="17:19" x14ac:dyDescent="0.2">
      <c r="Q1882" s="31" t="s">
        <v>1400</v>
      </c>
      <c r="R1882" s="72" t="s">
        <v>55</v>
      </c>
      <c r="S1882" s="75" t="str">
        <f t="shared" si="29"/>
        <v>NY_ULSTER</v>
      </c>
    </row>
    <row r="1883" spans="17:19" x14ac:dyDescent="0.2">
      <c r="Q1883" s="30" t="s">
        <v>633</v>
      </c>
      <c r="R1883" s="71" t="s">
        <v>55</v>
      </c>
      <c r="S1883" s="75" t="str">
        <f t="shared" si="29"/>
        <v>NY_WARREN</v>
      </c>
    </row>
    <row r="1884" spans="17:19" x14ac:dyDescent="0.2">
      <c r="Q1884" s="31" t="s">
        <v>261</v>
      </c>
      <c r="R1884" s="72" t="s">
        <v>55</v>
      </c>
      <c r="S1884" s="75" t="str">
        <f t="shared" si="29"/>
        <v>NY_WASHINGTON</v>
      </c>
    </row>
    <row r="1885" spans="17:19" x14ac:dyDescent="0.2">
      <c r="Q1885" s="30" t="s">
        <v>634</v>
      </c>
      <c r="R1885" s="71" t="s">
        <v>55</v>
      </c>
      <c r="S1885" s="75" t="str">
        <f t="shared" si="29"/>
        <v>NY_WAYNE</v>
      </c>
    </row>
    <row r="1886" spans="17:19" x14ac:dyDescent="0.2">
      <c r="Q1886" s="31" t="s">
        <v>1401</v>
      </c>
      <c r="R1886" s="72" t="s">
        <v>55</v>
      </c>
      <c r="S1886" s="75" t="str">
        <f t="shared" si="29"/>
        <v>NY_WESTCHESTER</v>
      </c>
    </row>
    <row r="1887" spans="17:19" x14ac:dyDescent="0.2">
      <c r="Q1887" s="30" t="s">
        <v>1402</v>
      </c>
      <c r="R1887" s="71" t="s">
        <v>55</v>
      </c>
      <c r="S1887" s="75" t="str">
        <f t="shared" si="29"/>
        <v>NY_WYOMING</v>
      </c>
    </row>
    <row r="1888" spans="17:19" x14ac:dyDescent="0.2">
      <c r="Q1888" s="31" t="s">
        <v>1403</v>
      </c>
      <c r="R1888" s="72" t="s">
        <v>55</v>
      </c>
      <c r="S1888" s="75" t="str">
        <f t="shared" si="29"/>
        <v>NY_YATES</v>
      </c>
    </row>
    <row r="1889" spans="17:19" x14ac:dyDescent="0.2">
      <c r="Q1889" s="30" t="s">
        <v>1404</v>
      </c>
      <c r="R1889" s="71" t="s">
        <v>74</v>
      </c>
      <c r="S1889" s="75" t="str">
        <f t="shared" si="29"/>
        <v>NC_ALAMANCE</v>
      </c>
    </row>
    <row r="1890" spans="17:19" x14ac:dyDescent="0.2">
      <c r="Q1890" s="31" t="s">
        <v>679</v>
      </c>
      <c r="R1890" s="72" t="s">
        <v>74</v>
      </c>
      <c r="S1890" s="75" t="str">
        <f t="shared" si="29"/>
        <v>NC_ALEXANDER</v>
      </c>
    </row>
    <row r="1891" spans="17:19" x14ac:dyDescent="0.2">
      <c r="Q1891" s="30" t="s">
        <v>1405</v>
      </c>
      <c r="R1891" s="71" t="s">
        <v>74</v>
      </c>
      <c r="S1891" s="75" t="str">
        <f t="shared" si="29"/>
        <v>NC_ALLEGHANY</v>
      </c>
    </row>
    <row r="1892" spans="17:19" x14ac:dyDescent="0.2">
      <c r="Q1892" s="31" t="s">
        <v>1406</v>
      </c>
      <c r="R1892" s="72" t="s">
        <v>74</v>
      </c>
      <c r="S1892" s="75" t="str">
        <f t="shared" si="29"/>
        <v>NC_ANSON</v>
      </c>
    </row>
    <row r="1893" spans="17:19" x14ac:dyDescent="0.2">
      <c r="Q1893" s="30" t="s">
        <v>1407</v>
      </c>
      <c r="R1893" s="71" t="s">
        <v>74</v>
      </c>
      <c r="S1893" s="75" t="str">
        <f t="shared" si="29"/>
        <v>NC_ASHE</v>
      </c>
    </row>
    <row r="1894" spans="17:19" x14ac:dyDescent="0.2">
      <c r="Q1894" s="31" t="s">
        <v>1408</v>
      </c>
      <c r="R1894" s="72" t="s">
        <v>74</v>
      </c>
      <c r="S1894" s="75" t="str">
        <f t="shared" si="29"/>
        <v>NC_AVERY</v>
      </c>
    </row>
    <row r="1895" spans="17:19" x14ac:dyDescent="0.2">
      <c r="Q1895" s="30" t="s">
        <v>1409</v>
      </c>
      <c r="R1895" s="71" t="s">
        <v>74</v>
      </c>
      <c r="S1895" s="75" t="str">
        <f t="shared" si="29"/>
        <v>NC_BEAUFORT</v>
      </c>
    </row>
    <row r="1896" spans="17:19" x14ac:dyDescent="0.2">
      <c r="Q1896" s="31" t="s">
        <v>1410</v>
      </c>
      <c r="R1896" s="72" t="s">
        <v>74</v>
      </c>
      <c r="S1896" s="75" t="str">
        <f t="shared" si="29"/>
        <v>NC_BERTIE</v>
      </c>
    </row>
    <row r="1897" spans="17:19" x14ac:dyDescent="0.2">
      <c r="Q1897" s="30" t="s">
        <v>1411</v>
      </c>
      <c r="R1897" s="71" t="s">
        <v>74</v>
      </c>
      <c r="S1897" s="75" t="str">
        <f t="shared" si="29"/>
        <v>NC_BLADEN</v>
      </c>
    </row>
    <row r="1898" spans="17:19" x14ac:dyDescent="0.2">
      <c r="Q1898" s="31" t="s">
        <v>1412</v>
      </c>
      <c r="R1898" s="72" t="s">
        <v>74</v>
      </c>
      <c r="S1898" s="75" t="str">
        <f t="shared" si="29"/>
        <v>NC_BRUNSWICK</v>
      </c>
    </row>
    <row r="1899" spans="17:19" x14ac:dyDescent="0.2">
      <c r="Q1899" s="30" t="s">
        <v>1413</v>
      </c>
      <c r="R1899" s="71" t="s">
        <v>74</v>
      </c>
      <c r="S1899" s="75" t="str">
        <f t="shared" si="29"/>
        <v>NC_BUNCOMBE</v>
      </c>
    </row>
    <row r="1900" spans="17:19" x14ac:dyDescent="0.2">
      <c r="Q1900" s="31" t="s">
        <v>546</v>
      </c>
      <c r="R1900" s="72" t="s">
        <v>74</v>
      </c>
      <c r="S1900" s="75" t="str">
        <f t="shared" si="29"/>
        <v>NC_BURKE</v>
      </c>
    </row>
    <row r="1901" spans="17:19" x14ac:dyDescent="0.2">
      <c r="Q1901" s="30" t="s">
        <v>1414</v>
      </c>
      <c r="R1901" s="71" t="s">
        <v>74</v>
      </c>
      <c r="S1901" s="75" t="str">
        <f t="shared" si="29"/>
        <v>NC_CABARRUS</v>
      </c>
    </row>
    <row r="1902" spans="17:19" x14ac:dyDescent="0.2">
      <c r="Q1902" s="31" t="s">
        <v>896</v>
      </c>
      <c r="R1902" s="72" t="s">
        <v>74</v>
      </c>
      <c r="S1902" s="75" t="str">
        <f t="shared" si="29"/>
        <v>NC_CALDWELL</v>
      </c>
    </row>
    <row r="1903" spans="17:19" x14ac:dyDescent="0.2">
      <c r="Q1903" s="30" t="s">
        <v>548</v>
      </c>
      <c r="R1903" s="71" t="s">
        <v>74</v>
      </c>
      <c r="S1903" s="75" t="str">
        <f t="shared" si="29"/>
        <v>NC_CAMDEN</v>
      </c>
    </row>
    <row r="1904" spans="17:19" x14ac:dyDescent="0.2">
      <c r="Q1904" s="31" t="s">
        <v>1415</v>
      </c>
      <c r="R1904" s="72" t="s">
        <v>74</v>
      </c>
      <c r="S1904" s="75" t="str">
        <f t="shared" si="29"/>
        <v>NC_CARTERET</v>
      </c>
    </row>
    <row r="1905" spans="17:19" x14ac:dyDescent="0.2">
      <c r="Q1905" s="30" t="s">
        <v>1416</v>
      </c>
      <c r="R1905" s="71" t="s">
        <v>74</v>
      </c>
      <c r="S1905" s="75" t="str">
        <f t="shared" si="29"/>
        <v>NC_CASWELL</v>
      </c>
    </row>
    <row r="1906" spans="17:19" x14ac:dyDescent="0.2">
      <c r="Q1906" s="31" t="s">
        <v>1417</v>
      </c>
      <c r="R1906" s="72" t="s">
        <v>74</v>
      </c>
      <c r="S1906" s="75" t="str">
        <f t="shared" si="29"/>
        <v>NC_CATAWBA</v>
      </c>
    </row>
    <row r="1907" spans="17:19" x14ac:dyDescent="0.2">
      <c r="Q1907" s="30" t="s">
        <v>552</v>
      </c>
      <c r="R1907" s="71" t="s">
        <v>74</v>
      </c>
      <c r="S1907" s="75" t="str">
        <f t="shared" si="29"/>
        <v>NC_CHATHAM</v>
      </c>
    </row>
    <row r="1908" spans="17:19" x14ac:dyDescent="0.2">
      <c r="Q1908" s="31" t="s">
        <v>206</v>
      </c>
      <c r="R1908" s="72" t="s">
        <v>74</v>
      </c>
      <c r="S1908" s="75" t="str">
        <f t="shared" si="29"/>
        <v>NC_CHEROKEE</v>
      </c>
    </row>
    <row r="1909" spans="17:19" x14ac:dyDescent="0.2">
      <c r="Q1909" s="30" t="s">
        <v>1418</v>
      </c>
      <c r="R1909" s="71" t="s">
        <v>74</v>
      </c>
      <c r="S1909" s="75" t="str">
        <f t="shared" si="29"/>
        <v>NC_CHOWAN</v>
      </c>
    </row>
    <row r="1910" spans="17:19" x14ac:dyDescent="0.2">
      <c r="Q1910" s="31" t="s">
        <v>210</v>
      </c>
      <c r="R1910" s="72" t="s">
        <v>74</v>
      </c>
      <c r="S1910" s="75" t="str">
        <f t="shared" si="29"/>
        <v>NC_CLAY</v>
      </c>
    </row>
    <row r="1911" spans="17:19" x14ac:dyDescent="0.2">
      <c r="Q1911" s="30" t="s">
        <v>313</v>
      </c>
      <c r="R1911" s="71" t="s">
        <v>74</v>
      </c>
      <c r="S1911" s="75" t="str">
        <f t="shared" si="29"/>
        <v>NC_CLEVELAND</v>
      </c>
    </row>
    <row r="1912" spans="17:19" x14ac:dyDescent="0.2">
      <c r="Q1912" s="31" t="s">
        <v>1419</v>
      </c>
      <c r="R1912" s="72" t="s">
        <v>74</v>
      </c>
      <c r="S1912" s="75" t="str">
        <f t="shared" si="29"/>
        <v>NC_COLUMBUS</v>
      </c>
    </row>
    <row r="1913" spans="17:19" x14ac:dyDescent="0.2">
      <c r="Q1913" s="30" t="s">
        <v>1420</v>
      </c>
      <c r="R1913" s="71" t="s">
        <v>74</v>
      </c>
      <c r="S1913" s="75" t="str">
        <f t="shared" si="29"/>
        <v>NC_CRAVEN</v>
      </c>
    </row>
    <row r="1914" spans="17:19" x14ac:dyDescent="0.2">
      <c r="Q1914" s="31" t="s">
        <v>688</v>
      </c>
      <c r="R1914" s="72" t="s">
        <v>74</v>
      </c>
      <c r="S1914" s="75" t="str">
        <f t="shared" si="29"/>
        <v>NC_CUMBERLAND</v>
      </c>
    </row>
    <row r="1915" spans="17:19" x14ac:dyDescent="0.2">
      <c r="Q1915" s="30" t="s">
        <v>1421</v>
      </c>
      <c r="R1915" s="71" t="s">
        <v>74</v>
      </c>
      <c r="S1915" s="75" t="str">
        <f t="shared" si="29"/>
        <v>NC_CURRITUCK</v>
      </c>
    </row>
    <row r="1916" spans="17:19" x14ac:dyDescent="0.2">
      <c r="Q1916" s="31" t="s">
        <v>1422</v>
      </c>
      <c r="R1916" s="72" t="s">
        <v>74</v>
      </c>
      <c r="S1916" s="75" t="str">
        <f t="shared" si="29"/>
        <v>NC_DARE</v>
      </c>
    </row>
    <row r="1917" spans="17:19" x14ac:dyDescent="0.2">
      <c r="Q1917" s="30" t="s">
        <v>1423</v>
      </c>
      <c r="R1917" s="71" t="s">
        <v>74</v>
      </c>
      <c r="S1917" s="75" t="str">
        <f t="shared" si="29"/>
        <v>NC_DAVIDSON</v>
      </c>
    </row>
    <row r="1918" spans="17:19" x14ac:dyDescent="0.2">
      <c r="Q1918" s="31" t="s">
        <v>1424</v>
      </c>
      <c r="R1918" s="72" t="s">
        <v>74</v>
      </c>
      <c r="S1918" s="75" t="str">
        <f t="shared" si="29"/>
        <v>NC_DAVIE</v>
      </c>
    </row>
    <row r="1919" spans="17:19" x14ac:dyDescent="0.2">
      <c r="Q1919" s="30" t="s">
        <v>1425</v>
      </c>
      <c r="R1919" s="71" t="s">
        <v>74</v>
      </c>
      <c r="S1919" s="75" t="str">
        <f t="shared" si="29"/>
        <v>NC_DUPLIN</v>
      </c>
    </row>
    <row r="1920" spans="17:19" x14ac:dyDescent="0.2">
      <c r="Q1920" s="31" t="s">
        <v>1426</v>
      </c>
      <c r="R1920" s="72" t="s">
        <v>74</v>
      </c>
      <c r="S1920" s="75" t="str">
        <f t="shared" si="29"/>
        <v>NC_DURHAM</v>
      </c>
    </row>
    <row r="1921" spans="17:19" x14ac:dyDescent="0.2">
      <c r="Q1921" s="30" t="s">
        <v>1427</v>
      </c>
      <c r="R1921" s="71" t="s">
        <v>74</v>
      </c>
      <c r="S1921" s="75" t="str">
        <f t="shared" si="29"/>
        <v>NC_EDGECOMBE</v>
      </c>
    </row>
    <row r="1922" spans="17:19" x14ac:dyDescent="0.2">
      <c r="Q1922" s="31" t="s">
        <v>575</v>
      </c>
      <c r="R1922" s="72" t="s">
        <v>74</v>
      </c>
      <c r="S1922" s="75" t="str">
        <f t="shared" si="29"/>
        <v>NC_FORSYTH</v>
      </c>
    </row>
    <row r="1923" spans="17:19" x14ac:dyDescent="0.2">
      <c r="Q1923" s="30" t="s">
        <v>226</v>
      </c>
      <c r="R1923" s="71" t="s">
        <v>74</v>
      </c>
      <c r="S1923" s="75" t="str">
        <f t="shared" si="29"/>
        <v>NC_FRANKLIN</v>
      </c>
    </row>
    <row r="1924" spans="17:19" x14ac:dyDescent="0.2">
      <c r="Q1924" s="31" t="s">
        <v>1428</v>
      </c>
      <c r="R1924" s="72" t="s">
        <v>74</v>
      </c>
      <c r="S1924" s="75" t="str">
        <f t="shared" ref="S1924:S1987" si="30">UPPER(CONCATENATE(TRIM(R1924),"_",TRIM(Q1924)))</f>
        <v>NC_GASTON</v>
      </c>
    </row>
    <row r="1925" spans="17:19" x14ac:dyDescent="0.2">
      <c r="Q1925" s="30" t="s">
        <v>1429</v>
      </c>
      <c r="R1925" s="71" t="s">
        <v>74</v>
      </c>
      <c r="S1925" s="75" t="str">
        <f t="shared" si="30"/>
        <v>NC_GATES</v>
      </c>
    </row>
    <row r="1926" spans="17:19" x14ac:dyDescent="0.2">
      <c r="Q1926" s="31" t="s">
        <v>293</v>
      </c>
      <c r="R1926" s="72" t="s">
        <v>74</v>
      </c>
      <c r="S1926" s="75" t="str">
        <f t="shared" si="30"/>
        <v>NC_GRAHAM</v>
      </c>
    </row>
    <row r="1927" spans="17:19" x14ac:dyDescent="0.2">
      <c r="Q1927" s="30" t="s">
        <v>1430</v>
      </c>
      <c r="R1927" s="71" t="s">
        <v>74</v>
      </c>
      <c r="S1927" s="75" t="str">
        <f t="shared" si="30"/>
        <v>NC_GRANVILLE</v>
      </c>
    </row>
    <row r="1928" spans="17:19" x14ac:dyDescent="0.2">
      <c r="Q1928" s="31" t="s">
        <v>228</v>
      </c>
      <c r="R1928" s="72" t="s">
        <v>74</v>
      </c>
      <c r="S1928" s="75" t="str">
        <f t="shared" si="30"/>
        <v>NC_GREENE</v>
      </c>
    </row>
    <row r="1929" spans="17:19" x14ac:dyDescent="0.2">
      <c r="Q1929" s="30" t="s">
        <v>1431</v>
      </c>
      <c r="R1929" s="71" t="s">
        <v>74</v>
      </c>
      <c r="S1929" s="75" t="str">
        <f t="shared" si="30"/>
        <v>NC_GUILFORD</v>
      </c>
    </row>
    <row r="1930" spans="17:19" x14ac:dyDescent="0.2">
      <c r="Q1930" s="31" t="s">
        <v>1432</v>
      </c>
      <c r="R1930" s="72" t="s">
        <v>74</v>
      </c>
      <c r="S1930" s="75" t="str">
        <f t="shared" si="30"/>
        <v>NC_HALIFAX</v>
      </c>
    </row>
    <row r="1931" spans="17:19" x14ac:dyDescent="0.2">
      <c r="Q1931" s="30" t="s">
        <v>1433</v>
      </c>
      <c r="R1931" s="71" t="s">
        <v>74</v>
      </c>
      <c r="S1931" s="75" t="str">
        <f t="shared" si="30"/>
        <v>NC_HARNETT</v>
      </c>
    </row>
    <row r="1932" spans="17:19" x14ac:dyDescent="0.2">
      <c r="Q1932" s="31" t="s">
        <v>1434</v>
      </c>
      <c r="R1932" s="72" t="s">
        <v>74</v>
      </c>
      <c r="S1932" s="75" t="str">
        <f t="shared" si="30"/>
        <v>NC_HAYWOOD</v>
      </c>
    </row>
    <row r="1933" spans="17:19" x14ac:dyDescent="0.2">
      <c r="Q1933" s="30" t="s">
        <v>697</v>
      </c>
      <c r="R1933" s="71" t="s">
        <v>74</v>
      </c>
      <c r="S1933" s="75" t="str">
        <f t="shared" si="30"/>
        <v>NC_HENDERSON</v>
      </c>
    </row>
    <row r="1934" spans="17:19" x14ac:dyDescent="0.2">
      <c r="Q1934" s="31" t="s">
        <v>1435</v>
      </c>
      <c r="R1934" s="72" t="s">
        <v>74</v>
      </c>
      <c r="S1934" s="75" t="str">
        <f t="shared" si="30"/>
        <v>NC_HERTFORD</v>
      </c>
    </row>
    <row r="1935" spans="17:19" x14ac:dyDescent="0.2">
      <c r="Q1935" s="30" t="s">
        <v>1436</v>
      </c>
      <c r="R1935" s="71" t="s">
        <v>74</v>
      </c>
      <c r="S1935" s="75" t="str">
        <f t="shared" si="30"/>
        <v>NC_HOKE</v>
      </c>
    </row>
    <row r="1936" spans="17:19" x14ac:dyDescent="0.2">
      <c r="Q1936" s="31" t="s">
        <v>1437</v>
      </c>
      <c r="R1936" s="72" t="s">
        <v>74</v>
      </c>
      <c r="S1936" s="75" t="str">
        <f t="shared" si="30"/>
        <v>NC_HYDE</v>
      </c>
    </row>
    <row r="1937" spans="17:19" x14ac:dyDescent="0.2">
      <c r="Q1937" s="30" t="s">
        <v>1438</v>
      </c>
      <c r="R1937" s="71" t="s">
        <v>74</v>
      </c>
      <c r="S1937" s="75" t="str">
        <f t="shared" si="30"/>
        <v>NC_IREDELL</v>
      </c>
    </row>
    <row r="1938" spans="17:19" x14ac:dyDescent="0.2">
      <c r="Q1938" s="31" t="s">
        <v>232</v>
      </c>
      <c r="R1938" s="72" t="s">
        <v>74</v>
      </c>
      <c r="S1938" s="75" t="str">
        <f t="shared" si="30"/>
        <v>NC_JACKSON</v>
      </c>
    </row>
    <row r="1939" spans="17:19" x14ac:dyDescent="0.2">
      <c r="Q1939" s="30" t="s">
        <v>1439</v>
      </c>
      <c r="R1939" s="71" t="s">
        <v>74</v>
      </c>
      <c r="S1939" s="75" t="str">
        <f t="shared" si="30"/>
        <v>NC_JOHNSTON</v>
      </c>
    </row>
    <row r="1940" spans="17:19" x14ac:dyDescent="0.2">
      <c r="Q1940" s="31" t="s">
        <v>593</v>
      </c>
      <c r="R1940" s="72" t="s">
        <v>74</v>
      </c>
      <c r="S1940" s="75" t="str">
        <f t="shared" si="30"/>
        <v>NC_JONES</v>
      </c>
    </row>
    <row r="1941" spans="17:19" x14ac:dyDescent="0.2">
      <c r="Q1941" s="30" t="s">
        <v>237</v>
      </c>
      <c r="R1941" s="71" t="s">
        <v>74</v>
      </c>
      <c r="S1941" s="75" t="str">
        <f t="shared" si="30"/>
        <v>NC_LEE</v>
      </c>
    </row>
    <row r="1942" spans="17:19" x14ac:dyDescent="0.2">
      <c r="Q1942" s="31" t="s">
        <v>1440</v>
      </c>
      <c r="R1942" s="72" t="s">
        <v>74</v>
      </c>
      <c r="S1942" s="75" t="str">
        <f t="shared" si="30"/>
        <v>NC_LENOIR</v>
      </c>
    </row>
    <row r="1943" spans="17:19" x14ac:dyDescent="0.2">
      <c r="Q1943" s="30" t="s">
        <v>333</v>
      </c>
      <c r="R1943" s="71" t="s">
        <v>74</v>
      </c>
      <c r="S1943" s="75" t="str">
        <f t="shared" si="30"/>
        <v>NC_LINCOLN</v>
      </c>
    </row>
    <row r="1944" spans="17:19" x14ac:dyDescent="0.2">
      <c r="Q1944" s="31" t="s">
        <v>1441</v>
      </c>
      <c r="R1944" s="72" t="s">
        <v>74</v>
      </c>
      <c r="S1944" s="75" t="str">
        <f t="shared" si="30"/>
        <v>NC_MCDOWELL</v>
      </c>
    </row>
    <row r="1945" spans="17:19" x14ac:dyDescent="0.2">
      <c r="Q1945" s="30" t="s">
        <v>240</v>
      </c>
      <c r="R1945" s="71" t="s">
        <v>74</v>
      </c>
      <c r="S1945" s="75" t="str">
        <f t="shared" si="30"/>
        <v>NC_MACON</v>
      </c>
    </row>
    <row r="1946" spans="17:19" x14ac:dyDescent="0.2">
      <c r="Q1946" s="31" t="s">
        <v>241</v>
      </c>
      <c r="R1946" s="72" t="s">
        <v>74</v>
      </c>
      <c r="S1946" s="75" t="str">
        <f t="shared" si="30"/>
        <v>NC_MADISON</v>
      </c>
    </row>
    <row r="1947" spans="17:19" x14ac:dyDescent="0.2">
      <c r="Q1947" s="30" t="s">
        <v>514</v>
      </c>
      <c r="R1947" s="71" t="s">
        <v>74</v>
      </c>
      <c r="S1947" s="75" t="str">
        <f t="shared" si="30"/>
        <v>NC_MARTIN</v>
      </c>
    </row>
    <row r="1948" spans="17:19" x14ac:dyDescent="0.2">
      <c r="Q1948" s="31" t="s">
        <v>1442</v>
      </c>
      <c r="R1948" s="72" t="s">
        <v>74</v>
      </c>
      <c r="S1948" s="75" t="str">
        <f t="shared" si="30"/>
        <v>NC_MECKLENBURG</v>
      </c>
    </row>
    <row r="1949" spans="17:19" x14ac:dyDescent="0.2">
      <c r="Q1949" s="30" t="s">
        <v>601</v>
      </c>
      <c r="R1949" s="71" t="s">
        <v>74</v>
      </c>
      <c r="S1949" s="75" t="str">
        <f t="shared" si="30"/>
        <v>NC_MITCHELL</v>
      </c>
    </row>
    <row r="1950" spans="17:19" x14ac:dyDescent="0.2">
      <c r="Q1950" s="31" t="s">
        <v>247</v>
      </c>
      <c r="R1950" s="72" t="s">
        <v>74</v>
      </c>
      <c r="S1950" s="75" t="str">
        <f t="shared" si="30"/>
        <v>NC_MONTGOMERY</v>
      </c>
    </row>
    <row r="1951" spans="17:19" x14ac:dyDescent="0.2">
      <c r="Q1951" s="30" t="s">
        <v>1443</v>
      </c>
      <c r="R1951" s="71" t="s">
        <v>74</v>
      </c>
      <c r="S1951" s="75" t="str">
        <f t="shared" si="30"/>
        <v>NC_MOORE</v>
      </c>
    </row>
    <row r="1952" spans="17:19" x14ac:dyDescent="0.2">
      <c r="Q1952" s="31" t="s">
        <v>1444</v>
      </c>
      <c r="R1952" s="72" t="s">
        <v>74</v>
      </c>
      <c r="S1952" s="75" t="str">
        <f t="shared" si="30"/>
        <v>NC_NASH</v>
      </c>
    </row>
    <row r="1953" spans="17:19" x14ac:dyDescent="0.2">
      <c r="Q1953" s="30" t="s">
        <v>1445</v>
      </c>
      <c r="R1953" s="71" t="s">
        <v>74</v>
      </c>
      <c r="S1953" s="75" t="str">
        <f t="shared" si="30"/>
        <v>NC_NEW HANOVER</v>
      </c>
    </row>
    <row r="1954" spans="17:19" x14ac:dyDescent="0.2">
      <c r="Q1954" s="31" t="s">
        <v>1446</v>
      </c>
      <c r="R1954" s="72" t="s">
        <v>74</v>
      </c>
      <c r="S1954" s="75" t="str">
        <f t="shared" si="30"/>
        <v>NC_NORTHAMPTON</v>
      </c>
    </row>
    <row r="1955" spans="17:19" x14ac:dyDescent="0.2">
      <c r="Q1955" s="30" t="s">
        <v>1447</v>
      </c>
      <c r="R1955" s="71" t="s">
        <v>74</v>
      </c>
      <c r="S1955" s="75" t="str">
        <f t="shared" si="30"/>
        <v>NC_ONSLOW</v>
      </c>
    </row>
    <row r="1956" spans="17:19" x14ac:dyDescent="0.2">
      <c r="Q1956" s="31" t="s">
        <v>389</v>
      </c>
      <c r="R1956" s="72" t="s">
        <v>74</v>
      </c>
      <c r="S1956" s="75" t="str">
        <f t="shared" si="30"/>
        <v>NC_ORANGE</v>
      </c>
    </row>
    <row r="1957" spans="17:19" x14ac:dyDescent="0.2">
      <c r="Q1957" s="30" t="s">
        <v>1448</v>
      </c>
      <c r="R1957" s="71" t="s">
        <v>74</v>
      </c>
      <c r="S1957" s="75" t="str">
        <f t="shared" si="30"/>
        <v>NC_PAMLICO</v>
      </c>
    </row>
    <row r="1958" spans="17:19" x14ac:dyDescent="0.2">
      <c r="Q1958" s="31" t="s">
        <v>1449</v>
      </c>
      <c r="R1958" s="72" t="s">
        <v>74</v>
      </c>
      <c r="S1958" s="75" t="str">
        <f t="shared" si="30"/>
        <v>NC_PASQUOTANK</v>
      </c>
    </row>
    <row r="1959" spans="17:19" x14ac:dyDescent="0.2">
      <c r="Q1959" s="30" t="s">
        <v>1450</v>
      </c>
      <c r="R1959" s="71" t="s">
        <v>74</v>
      </c>
      <c r="S1959" s="75" t="str">
        <f t="shared" si="30"/>
        <v>NC_PENDER</v>
      </c>
    </row>
    <row r="1960" spans="17:19" x14ac:dyDescent="0.2">
      <c r="Q1960" s="31" t="s">
        <v>1451</v>
      </c>
      <c r="R1960" s="72" t="s">
        <v>74</v>
      </c>
      <c r="S1960" s="75" t="str">
        <f t="shared" si="30"/>
        <v>NC_PERQUIMANS</v>
      </c>
    </row>
    <row r="1961" spans="17:19" x14ac:dyDescent="0.2">
      <c r="Q1961" s="30" t="s">
        <v>1452</v>
      </c>
      <c r="R1961" s="71" t="s">
        <v>74</v>
      </c>
      <c r="S1961" s="75" t="str">
        <f t="shared" si="30"/>
        <v>NC_PERSON</v>
      </c>
    </row>
    <row r="1962" spans="17:19" x14ac:dyDescent="0.2">
      <c r="Q1962" s="31" t="s">
        <v>1453</v>
      </c>
      <c r="R1962" s="72" t="s">
        <v>74</v>
      </c>
      <c r="S1962" s="75" t="str">
        <f t="shared" si="30"/>
        <v>NC_PITT</v>
      </c>
    </row>
    <row r="1963" spans="17:19" x14ac:dyDescent="0.2">
      <c r="Q1963" s="30" t="s">
        <v>344</v>
      </c>
      <c r="R1963" s="71" t="s">
        <v>74</v>
      </c>
      <c r="S1963" s="75" t="str">
        <f t="shared" si="30"/>
        <v>NC_POLK</v>
      </c>
    </row>
    <row r="1964" spans="17:19" x14ac:dyDescent="0.2">
      <c r="Q1964" s="31" t="s">
        <v>252</v>
      </c>
      <c r="R1964" s="72" t="s">
        <v>74</v>
      </c>
      <c r="S1964" s="75" t="str">
        <f t="shared" si="30"/>
        <v>NC_RANDOLPH</v>
      </c>
    </row>
    <row r="1965" spans="17:19" x14ac:dyDescent="0.2">
      <c r="Q1965" s="30" t="s">
        <v>611</v>
      </c>
      <c r="R1965" s="71" t="s">
        <v>74</v>
      </c>
      <c r="S1965" s="75" t="str">
        <f t="shared" si="30"/>
        <v>NC_RICHMOND</v>
      </c>
    </row>
    <row r="1966" spans="17:19" x14ac:dyDescent="0.2">
      <c r="Q1966" s="31" t="s">
        <v>1454</v>
      </c>
      <c r="R1966" s="72" t="s">
        <v>74</v>
      </c>
      <c r="S1966" s="75" t="str">
        <f t="shared" si="30"/>
        <v>NC_ROBESON</v>
      </c>
    </row>
    <row r="1967" spans="17:19" x14ac:dyDescent="0.2">
      <c r="Q1967" s="30" t="s">
        <v>1336</v>
      </c>
      <c r="R1967" s="71" t="s">
        <v>74</v>
      </c>
      <c r="S1967" s="75" t="str">
        <f t="shared" si="30"/>
        <v>NC_ROCKINGHAM</v>
      </c>
    </row>
    <row r="1968" spans="17:19" x14ac:dyDescent="0.2">
      <c r="Q1968" s="31" t="s">
        <v>935</v>
      </c>
      <c r="R1968" s="72" t="s">
        <v>74</v>
      </c>
      <c r="S1968" s="75" t="str">
        <f t="shared" si="30"/>
        <v>NC_ROWAN</v>
      </c>
    </row>
    <row r="1969" spans="17:19" x14ac:dyDescent="0.2">
      <c r="Q1969" s="30" t="s">
        <v>1455</v>
      </c>
      <c r="R1969" s="71" t="s">
        <v>74</v>
      </c>
      <c r="S1969" s="75" t="str">
        <f t="shared" si="30"/>
        <v>NC_RUTHERFORD</v>
      </c>
    </row>
    <row r="1970" spans="17:19" x14ac:dyDescent="0.2">
      <c r="Q1970" s="31" t="s">
        <v>1456</v>
      </c>
      <c r="R1970" s="72" t="s">
        <v>74</v>
      </c>
      <c r="S1970" s="75" t="str">
        <f t="shared" si="30"/>
        <v>NC_SAMPSON</v>
      </c>
    </row>
    <row r="1971" spans="17:19" x14ac:dyDescent="0.2">
      <c r="Q1971" s="30" t="s">
        <v>1236</v>
      </c>
      <c r="R1971" s="71" t="s">
        <v>74</v>
      </c>
      <c r="S1971" s="75" t="str">
        <f t="shared" si="30"/>
        <v>NC_SCOTLAND</v>
      </c>
    </row>
    <row r="1972" spans="17:19" x14ac:dyDescent="0.2">
      <c r="Q1972" s="31" t="s">
        <v>1457</v>
      </c>
      <c r="R1972" s="72" t="s">
        <v>74</v>
      </c>
      <c r="S1972" s="75" t="str">
        <f t="shared" si="30"/>
        <v>NC_STANLY</v>
      </c>
    </row>
    <row r="1973" spans="17:19" x14ac:dyDescent="0.2">
      <c r="Q1973" s="30" t="s">
        <v>1458</v>
      </c>
      <c r="R1973" s="71" t="s">
        <v>74</v>
      </c>
      <c r="S1973" s="75" t="str">
        <f t="shared" si="30"/>
        <v>NC_STOKES</v>
      </c>
    </row>
    <row r="1974" spans="17:19" x14ac:dyDescent="0.2">
      <c r="Q1974" s="31" t="s">
        <v>1459</v>
      </c>
      <c r="R1974" s="72" t="s">
        <v>74</v>
      </c>
      <c r="S1974" s="75" t="str">
        <f t="shared" si="30"/>
        <v>NC_SURRY</v>
      </c>
    </row>
    <row r="1975" spans="17:19" x14ac:dyDescent="0.2">
      <c r="Q1975" s="30" t="s">
        <v>1460</v>
      </c>
      <c r="R1975" s="71" t="s">
        <v>74</v>
      </c>
      <c r="S1975" s="75" t="str">
        <f t="shared" si="30"/>
        <v>NC_SWAIN</v>
      </c>
    </row>
    <row r="1976" spans="17:19" x14ac:dyDescent="0.2">
      <c r="Q1976" s="31" t="s">
        <v>1461</v>
      </c>
      <c r="R1976" s="72" t="s">
        <v>74</v>
      </c>
      <c r="S1976" s="75" t="str">
        <f t="shared" si="30"/>
        <v>NC_TRANSYLVANIA</v>
      </c>
    </row>
    <row r="1977" spans="17:19" x14ac:dyDescent="0.2">
      <c r="Q1977" s="30" t="s">
        <v>1462</v>
      </c>
      <c r="R1977" s="71" t="s">
        <v>74</v>
      </c>
      <c r="S1977" s="75" t="str">
        <f t="shared" si="30"/>
        <v>NC_TYRRELL</v>
      </c>
    </row>
    <row r="1978" spans="17:19" x14ac:dyDescent="0.2">
      <c r="Q1978" s="31" t="s">
        <v>356</v>
      </c>
      <c r="R1978" s="72" t="s">
        <v>74</v>
      </c>
      <c r="S1978" s="75" t="str">
        <f t="shared" si="30"/>
        <v>NC_UNION</v>
      </c>
    </row>
    <row r="1979" spans="17:19" x14ac:dyDescent="0.2">
      <c r="Q1979" s="30" t="s">
        <v>1463</v>
      </c>
      <c r="R1979" s="71" t="s">
        <v>74</v>
      </c>
      <c r="S1979" s="75" t="str">
        <f t="shared" si="30"/>
        <v>NC_VANCE</v>
      </c>
    </row>
    <row r="1980" spans="17:19" x14ac:dyDescent="0.2">
      <c r="Q1980" s="31" t="s">
        <v>1464</v>
      </c>
      <c r="R1980" s="72" t="s">
        <v>74</v>
      </c>
      <c r="S1980" s="75" t="str">
        <f t="shared" si="30"/>
        <v>NC_WAKE</v>
      </c>
    </row>
    <row r="1981" spans="17:19" x14ac:dyDescent="0.2">
      <c r="Q1981" s="30" t="s">
        <v>633</v>
      </c>
      <c r="R1981" s="71" t="s">
        <v>74</v>
      </c>
      <c r="S1981" s="75" t="str">
        <f t="shared" si="30"/>
        <v>NC_WARREN</v>
      </c>
    </row>
    <row r="1982" spans="17:19" x14ac:dyDescent="0.2">
      <c r="Q1982" s="31" t="s">
        <v>261</v>
      </c>
      <c r="R1982" s="72" t="s">
        <v>74</v>
      </c>
      <c r="S1982" s="75" t="str">
        <f t="shared" si="30"/>
        <v>NC_WASHINGTON</v>
      </c>
    </row>
    <row r="1983" spans="17:19" x14ac:dyDescent="0.2">
      <c r="Q1983" s="30" t="s">
        <v>1465</v>
      </c>
      <c r="R1983" s="71" t="s">
        <v>74</v>
      </c>
      <c r="S1983" s="75" t="str">
        <f t="shared" si="30"/>
        <v>NC_WATAUGA</v>
      </c>
    </row>
    <row r="1984" spans="17:19" x14ac:dyDescent="0.2">
      <c r="Q1984" s="31" t="s">
        <v>634</v>
      </c>
      <c r="R1984" s="72" t="s">
        <v>74</v>
      </c>
      <c r="S1984" s="75" t="str">
        <f t="shared" si="30"/>
        <v>NC_WAYNE</v>
      </c>
    </row>
    <row r="1985" spans="17:19" x14ac:dyDescent="0.2">
      <c r="Q1985" s="30" t="s">
        <v>638</v>
      </c>
      <c r="R1985" s="71" t="s">
        <v>74</v>
      </c>
      <c r="S1985" s="75" t="str">
        <f t="shared" si="30"/>
        <v>NC_WILKES</v>
      </c>
    </row>
    <row r="1986" spans="17:19" x14ac:dyDescent="0.2">
      <c r="Q1986" s="31" t="s">
        <v>883</v>
      </c>
      <c r="R1986" s="72" t="s">
        <v>74</v>
      </c>
      <c r="S1986" s="75" t="str">
        <f t="shared" si="30"/>
        <v>NC_WILSON</v>
      </c>
    </row>
    <row r="1987" spans="17:19" x14ac:dyDescent="0.2">
      <c r="Q1987" s="30" t="s">
        <v>1466</v>
      </c>
      <c r="R1987" s="71" t="s">
        <v>74</v>
      </c>
      <c r="S1987" s="75" t="str">
        <f t="shared" si="30"/>
        <v>NC_YADKIN</v>
      </c>
    </row>
    <row r="1988" spans="17:19" x14ac:dyDescent="0.2">
      <c r="Q1988" s="31" t="s">
        <v>1467</v>
      </c>
      <c r="R1988" s="72" t="s">
        <v>74</v>
      </c>
      <c r="S1988" s="75" t="str">
        <f t="shared" ref="S1988:S2051" si="31">UPPER(CONCATENATE(TRIM(R1988),"_",TRIM(Q1988)))</f>
        <v>NC_YANCEY</v>
      </c>
    </row>
    <row r="1989" spans="17:19" x14ac:dyDescent="0.2">
      <c r="Q1989" s="30" t="s">
        <v>417</v>
      </c>
      <c r="R1989" s="71" t="s">
        <v>73</v>
      </c>
      <c r="S1989" s="75" t="str">
        <f t="shared" si="31"/>
        <v>ND_ADAMS</v>
      </c>
    </row>
    <row r="1990" spans="17:19" x14ac:dyDescent="0.2">
      <c r="Q1990" s="31" t="s">
        <v>1468</v>
      </c>
      <c r="R1990" s="72" t="s">
        <v>73</v>
      </c>
      <c r="S1990" s="75" t="str">
        <f t="shared" si="31"/>
        <v>ND_BARNES</v>
      </c>
    </row>
    <row r="1991" spans="17:19" x14ac:dyDescent="0.2">
      <c r="Q1991" s="30" t="s">
        <v>1469</v>
      </c>
      <c r="R1991" s="71" t="s">
        <v>73</v>
      </c>
      <c r="S1991" s="75" t="str">
        <f t="shared" si="31"/>
        <v>ND_BENSON</v>
      </c>
    </row>
    <row r="1992" spans="17:19" x14ac:dyDescent="0.2">
      <c r="Q1992" s="31" t="s">
        <v>1470</v>
      </c>
      <c r="R1992" s="72" t="s">
        <v>73</v>
      </c>
      <c r="S1992" s="75" t="str">
        <f t="shared" si="31"/>
        <v>ND_BILLINGS</v>
      </c>
    </row>
    <row r="1993" spans="17:19" x14ac:dyDescent="0.2">
      <c r="Q1993" s="30" t="s">
        <v>1471</v>
      </c>
      <c r="R1993" s="71" t="s">
        <v>73</v>
      </c>
      <c r="S1993" s="75" t="str">
        <f t="shared" si="31"/>
        <v>ND_BOTTINEAU</v>
      </c>
    </row>
    <row r="1994" spans="17:19" x14ac:dyDescent="0.2">
      <c r="Q1994" s="31" t="s">
        <v>1472</v>
      </c>
      <c r="R1994" s="72" t="s">
        <v>73</v>
      </c>
      <c r="S1994" s="75" t="str">
        <f t="shared" si="31"/>
        <v>ND_BOWMAN</v>
      </c>
    </row>
    <row r="1995" spans="17:19" x14ac:dyDescent="0.2">
      <c r="Q1995" s="30" t="s">
        <v>546</v>
      </c>
      <c r="R1995" s="71" t="s">
        <v>73</v>
      </c>
      <c r="S1995" s="75" t="str">
        <f t="shared" si="31"/>
        <v>ND_BURKE</v>
      </c>
    </row>
    <row r="1996" spans="17:19" x14ac:dyDescent="0.2">
      <c r="Q1996" s="31" t="s">
        <v>1473</v>
      </c>
      <c r="R1996" s="72" t="s">
        <v>73</v>
      </c>
      <c r="S1996" s="75" t="str">
        <f t="shared" si="31"/>
        <v>ND_BURLEIGH</v>
      </c>
    </row>
    <row r="1997" spans="17:19" x14ac:dyDescent="0.2">
      <c r="Q1997" s="30" t="s">
        <v>683</v>
      </c>
      <c r="R1997" s="71" t="s">
        <v>73</v>
      </c>
      <c r="S1997" s="75" t="str">
        <f t="shared" si="31"/>
        <v>ND_CASS</v>
      </c>
    </row>
    <row r="1998" spans="17:19" x14ac:dyDescent="0.2">
      <c r="Q1998" s="31" t="s">
        <v>1474</v>
      </c>
      <c r="R1998" s="72" t="s">
        <v>73</v>
      </c>
      <c r="S1998" s="75" t="str">
        <f t="shared" si="31"/>
        <v>ND_CAVALIER</v>
      </c>
    </row>
    <row r="1999" spans="17:19" x14ac:dyDescent="0.2">
      <c r="Q1999" s="30" t="s">
        <v>1475</v>
      </c>
      <c r="R1999" s="71" t="s">
        <v>73</v>
      </c>
      <c r="S1999" s="75" t="str">
        <f t="shared" si="31"/>
        <v>ND_DICKEY</v>
      </c>
    </row>
    <row r="2000" spans="17:19" x14ac:dyDescent="0.2">
      <c r="Q2000" s="31" t="s">
        <v>1476</v>
      </c>
      <c r="R2000" s="72" t="s">
        <v>73</v>
      </c>
      <c r="S2000" s="75" t="str">
        <f t="shared" si="31"/>
        <v>ND_DIVIDE</v>
      </c>
    </row>
    <row r="2001" spans="17:19" x14ac:dyDescent="0.2">
      <c r="Q2001" s="30" t="s">
        <v>1477</v>
      </c>
      <c r="R2001" s="71" t="s">
        <v>73</v>
      </c>
      <c r="S2001" s="75" t="str">
        <f t="shared" si="31"/>
        <v>ND_DUNN</v>
      </c>
    </row>
    <row r="2002" spans="17:19" x14ac:dyDescent="0.2">
      <c r="Q2002" s="31" t="s">
        <v>1356</v>
      </c>
      <c r="R2002" s="72" t="s">
        <v>73</v>
      </c>
      <c r="S2002" s="75" t="str">
        <f t="shared" si="31"/>
        <v>ND_EDDY</v>
      </c>
    </row>
    <row r="2003" spans="17:19" x14ac:dyDescent="0.2">
      <c r="Q2003" s="30" t="s">
        <v>1478</v>
      </c>
      <c r="R2003" s="71" t="s">
        <v>73</v>
      </c>
      <c r="S2003" s="75" t="str">
        <f t="shared" si="31"/>
        <v>ND_EMMONS</v>
      </c>
    </row>
    <row r="2004" spans="17:19" x14ac:dyDescent="0.2">
      <c r="Q2004" s="31" t="s">
        <v>1479</v>
      </c>
      <c r="R2004" s="72" t="s">
        <v>73</v>
      </c>
      <c r="S2004" s="75" t="str">
        <f t="shared" si="31"/>
        <v>ND_FOSTER</v>
      </c>
    </row>
    <row r="2005" spans="17:19" x14ac:dyDescent="0.2">
      <c r="Q2005" s="30" t="s">
        <v>1255</v>
      </c>
      <c r="R2005" s="71" t="s">
        <v>73</v>
      </c>
      <c r="S2005" s="75" t="str">
        <f t="shared" si="31"/>
        <v>ND_GOLDEN VALLEY</v>
      </c>
    </row>
    <row r="2006" spans="17:19" x14ac:dyDescent="0.2">
      <c r="Q2006" s="31" t="s">
        <v>1480</v>
      </c>
      <c r="R2006" s="72" t="s">
        <v>73</v>
      </c>
      <c r="S2006" s="75" t="str">
        <f t="shared" si="31"/>
        <v>ND_GRAND FORKS</v>
      </c>
    </row>
    <row r="2007" spans="17:19" x14ac:dyDescent="0.2">
      <c r="Q2007" s="30" t="s">
        <v>325</v>
      </c>
      <c r="R2007" s="71" t="s">
        <v>73</v>
      </c>
      <c r="S2007" s="75" t="str">
        <f t="shared" si="31"/>
        <v>ND_GRANT</v>
      </c>
    </row>
    <row r="2008" spans="17:19" x14ac:dyDescent="0.2">
      <c r="Q2008" s="31" t="s">
        <v>1481</v>
      </c>
      <c r="R2008" s="72" t="s">
        <v>73</v>
      </c>
      <c r="S2008" s="75" t="str">
        <f t="shared" si="31"/>
        <v>ND_GRIGGS</v>
      </c>
    </row>
    <row r="2009" spans="17:19" x14ac:dyDescent="0.2">
      <c r="Q2009" s="30" t="s">
        <v>1482</v>
      </c>
      <c r="R2009" s="71" t="s">
        <v>73</v>
      </c>
      <c r="S2009" s="75" t="str">
        <f t="shared" si="31"/>
        <v>ND_HETTINGER</v>
      </c>
    </row>
    <row r="2010" spans="17:19" x14ac:dyDescent="0.2">
      <c r="Q2010" s="31" t="s">
        <v>1483</v>
      </c>
      <c r="R2010" s="72" t="s">
        <v>73</v>
      </c>
      <c r="S2010" s="75" t="str">
        <f t="shared" si="31"/>
        <v>ND_KIDDER</v>
      </c>
    </row>
    <row r="2011" spans="17:19" x14ac:dyDescent="0.2">
      <c r="Q2011" s="30" t="s">
        <v>1484</v>
      </c>
      <c r="R2011" s="71" t="s">
        <v>73</v>
      </c>
      <c r="S2011" s="75" t="str">
        <f t="shared" si="31"/>
        <v>ND_LAMOURE</v>
      </c>
    </row>
    <row r="2012" spans="17:19" x14ac:dyDescent="0.2">
      <c r="Q2012" s="31" t="s">
        <v>335</v>
      </c>
      <c r="R2012" s="72" t="s">
        <v>73</v>
      </c>
      <c r="S2012" s="75" t="str">
        <f t="shared" si="31"/>
        <v>ND_LOGAN</v>
      </c>
    </row>
    <row r="2013" spans="17:19" x14ac:dyDescent="0.2">
      <c r="Q2013" s="30" t="s">
        <v>708</v>
      </c>
      <c r="R2013" s="71" t="s">
        <v>73</v>
      </c>
      <c r="S2013" s="75" t="str">
        <f t="shared" si="31"/>
        <v>ND_MCHENRY</v>
      </c>
    </row>
    <row r="2014" spans="17:19" x14ac:dyDescent="0.2">
      <c r="Q2014" s="31" t="s">
        <v>599</v>
      </c>
      <c r="R2014" s="72" t="s">
        <v>73</v>
      </c>
      <c r="S2014" s="75" t="str">
        <f t="shared" si="31"/>
        <v>ND_MCINTOSH</v>
      </c>
    </row>
    <row r="2015" spans="17:19" x14ac:dyDescent="0.2">
      <c r="Q2015" s="30" t="s">
        <v>1485</v>
      </c>
      <c r="R2015" s="71" t="s">
        <v>73</v>
      </c>
      <c r="S2015" s="75" t="str">
        <f t="shared" si="31"/>
        <v>ND_MCKENZIE</v>
      </c>
    </row>
    <row r="2016" spans="17:19" x14ac:dyDescent="0.2">
      <c r="Q2016" s="31" t="s">
        <v>709</v>
      </c>
      <c r="R2016" s="72" t="s">
        <v>73</v>
      </c>
      <c r="S2016" s="75" t="str">
        <f t="shared" si="31"/>
        <v>ND_MCLEAN</v>
      </c>
    </row>
    <row r="2017" spans="17:19" x14ac:dyDescent="0.2">
      <c r="Q2017" s="30" t="s">
        <v>714</v>
      </c>
      <c r="R2017" s="71" t="s">
        <v>73</v>
      </c>
      <c r="S2017" s="75" t="str">
        <f t="shared" si="31"/>
        <v>ND_MERCER</v>
      </c>
    </row>
    <row r="2018" spans="17:19" x14ac:dyDescent="0.2">
      <c r="Q2018" s="31" t="s">
        <v>853</v>
      </c>
      <c r="R2018" s="72" t="s">
        <v>73</v>
      </c>
      <c r="S2018" s="75" t="str">
        <f t="shared" si="31"/>
        <v>ND_MORTON</v>
      </c>
    </row>
    <row r="2019" spans="17:19" x14ac:dyDescent="0.2">
      <c r="Q2019" s="30" t="s">
        <v>1486</v>
      </c>
      <c r="R2019" s="71" t="s">
        <v>73</v>
      </c>
      <c r="S2019" s="75" t="str">
        <f t="shared" si="31"/>
        <v>ND_MOUNTRAIL</v>
      </c>
    </row>
    <row r="2020" spans="17:19" x14ac:dyDescent="0.2">
      <c r="Q2020" s="31" t="s">
        <v>927</v>
      </c>
      <c r="R2020" s="72" t="s">
        <v>73</v>
      </c>
      <c r="S2020" s="75" t="str">
        <f t="shared" si="31"/>
        <v>ND_NELSON</v>
      </c>
    </row>
    <row r="2021" spans="17:19" x14ac:dyDescent="0.2">
      <c r="Q2021" s="30" t="s">
        <v>1487</v>
      </c>
      <c r="R2021" s="71" t="s">
        <v>73</v>
      </c>
      <c r="S2021" s="75" t="str">
        <f t="shared" si="31"/>
        <v>ND_OLIVER</v>
      </c>
    </row>
    <row r="2022" spans="17:19" x14ac:dyDescent="0.2">
      <c r="Q2022" s="31" t="s">
        <v>1488</v>
      </c>
      <c r="R2022" s="72" t="s">
        <v>73</v>
      </c>
      <c r="S2022" s="75" t="str">
        <f t="shared" si="31"/>
        <v>ND_PEMBINA</v>
      </c>
    </row>
    <row r="2023" spans="17:19" x14ac:dyDescent="0.2">
      <c r="Q2023" s="30" t="s">
        <v>608</v>
      </c>
      <c r="R2023" s="71" t="s">
        <v>73</v>
      </c>
      <c r="S2023" s="75" t="str">
        <f t="shared" si="31"/>
        <v>ND_PIERCE</v>
      </c>
    </row>
    <row r="2024" spans="17:19" x14ac:dyDescent="0.2">
      <c r="Q2024" s="31" t="s">
        <v>1145</v>
      </c>
      <c r="R2024" s="72" t="s">
        <v>73</v>
      </c>
      <c r="S2024" s="75" t="str">
        <f t="shared" si="31"/>
        <v>ND_RAMSEY</v>
      </c>
    </row>
    <row r="2025" spans="17:19" x14ac:dyDescent="0.2">
      <c r="Q2025" s="30" t="s">
        <v>1489</v>
      </c>
      <c r="R2025" s="71" t="s">
        <v>73</v>
      </c>
      <c r="S2025" s="75" t="str">
        <f t="shared" si="31"/>
        <v>ND_RANSOM</v>
      </c>
    </row>
    <row r="2026" spans="17:19" x14ac:dyDescent="0.2">
      <c r="Q2026" s="31" t="s">
        <v>1148</v>
      </c>
      <c r="R2026" s="72" t="s">
        <v>73</v>
      </c>
      <c r="S2026" s="75" t="str">
        <f t="shared" si="31"/>
        <v>ND_RENVILLE</v>
      </c>
    </row>
    <row r="2027" spans="17:19" x14ac:dyDescent="0.2">
      <c r="Q2027" s="30" t="s">
        <v>719</v>
      </c>
      <c r="R2027" s="71" t="s">
        <v>73</v>
      </c>
      <c r="S2027" s="75" t="str">
        <f t="shared" si="31"/>
        <v>ND_RICHLAND</v>
      </c>
    </row>
    <row r="2028" spans="17:19" x14ac:dyDescent="0.2">
      <c r="Q2028" s="31" t="s">
        <v>1490</v>
      </c>
      <c r="R2028" s="72" t="s">
        <v>73</v>
      </c>
      <c r="S2028" s="75" t="str">
        <f t="shared" si="31"/>
        <v>ND_ROLETTE</v>
      </c>
    </row>
    <row r="2029" spans="17:19" x14ac:dyDescent="0.2">
      <c r="Q2029" s="30" t="s">
        <v>1491</v>
      </c>
      <c r="R2029" s="71" t="s">
        <v>73</v>
      </c>
      <c r="S2029" s="75" t="str">
        <f t="shared" si="31"/>
        <v>ND_SARGENT</v>
      </c>
    </row>
    <row r="2030" spans="17:19" x14ac:dyDescent="0.2">
      <c r="Q2030" s="31" t="s">
        <v>872</v>
      </c>
      <c r="R2030" s="72" t="s">
        <v>73</v>
      </c>
      <c r="S2030" s="75" t="str">
        <f t="shared" si="31"/>
        <v>ND_SHERIDAN</v>
      </c>
    </row>
    <row r="2031" spans="17:19" x14ac:dyDescent="0.2">
      <c r="Q2031" s="30" t="s">
        <v>812</v>
      </c>
      <c r="R2031" s="71" t="s">
        <v>73</v>
      </c>
      <c r="S2031" s="75" t="str">
        <f t="shared" si="31"/>
        <v>ND_SIOUX</v>
      </c>
    </row>
    <row r="2032" spans="17:19" x14ac:dyDescent="0.2">
      <c r="Q2032" s="31" t="s">
        <v>1492</v>
      </c>
      <c r="R2032" s="72" t="s">
        <v>73</v>
      </c>
      <c r="S2032" s="75" t="str">
        <f t="shared" si="31"/>
        <v>ND_SLOPE</v>
      </c>
    </row>
    <row r="2033" spans="17:19" x14ac:dyDescent="0.2">
      <c r="Q2033" s="30" t="s">
        <v>723</v>
      </c>
      <c r="R2033" s="71" t="s">
        <v>73</v>
      </c>
      <c r="S2033" s="75" t="str">
        <f t="shared" si="31"/>
        <v>ND_STARK</v>
      </c>
    </row>
    <row r="2034" spans="17:19" x14ac:dyDescent="0.2">
      <c r="Q2034" s="31" t="s">
        <v>1155</v>
      </c>
      <c r="R2034" s="72" t="s">
        <v>73</v>
      </c>
      <c r="S2034" s="75" t="str">
        <f t="shared" si="31"/>
        <v>ND_STEELE</v>
      </c>
    </row>
    <row r="2035" spans="17:19" x14ac:dyDescent="0.2">
      <c r="Q2035" s="30" t="s">
        <v>1493</v>
      </c>
      <c r="R2035" s="71" t="s">
        <v>73</v>
      </c>
      <c r="S2035" s="75" t="str">
        <f t="shared" si="31"/>
        <v>ND_STUTSMAN</v>
      </c>
    </row>
    <row r="2036" spans="17:19" x14ac:dyDescent="0.2">
      <c r="Q2036" s="31" t="s">
        <v>1494</v>
      </c>
      <c r="R2036" s="72" t="s">
        <v>73</v>
      </c>
      <c r="S2036" s="75" t="str">
        <f t="shared" si="31"/>
        <v>ND_TOWNER</v>
      </c>
    </row>
    <row r="2037" spans="17:19" x14ac:dyDescent="0.2">
      <c r="Q2037" s="30" t="s">
        <v>1495</v>
      </c>
      <c r="R2037" s="71" t="s">
        <v>73</v>
      </c>
      <c r="S2037" s="75" t="str">
        <f t="shared" si="31"/>
        <v>ND_TRAILL</v>
      </c>
    </row>
    <row r="2038" spans="17:19" x14ac:dyDescent="0.2">
      <c r="Q2038" s="31" t="s">
        <v>1496</v>
      </c>
      <c r="R2038" s="72" t="s">
        <v>73</v>
      </c>
      <c r="S2038" s="75" t="str">
        <f t="shared" si="31"/>
        <v>ND_WALSH</v>
      </c>
    </row>
    <row r="2039" spans="17:19" x14ac:dyDescent="0.2">
      <c r="Q2039" s="30" t="s">
        <v>1497</v>
      </c>
      <c r="R2039" s="71" t="s">
        <v>73</v>
      </c>
      <c r="S2039" s="75" t="str">
        <f t="shared" si="31"/>
        <v>ND_WARD</v>
      </c>
    </row>
    <row r="2040" spans="17:19" x14ac:dyDescent="0.2">
      <c r="Q2040" s="31" t="s">
        <v>772</v>
      </c>
      <c r="R2040" s="72" t="s">
        <v>73</v>
      </c>
      <c r="S2040" s="75" t="str">
        <f t="shared" si="31"/>
        <v>ND_WELLS</v>
      </c>
    </row>
    <row r="2041" spans="17:19" x14ac:dyDescent="0.2">
      <c r="Q2041" s="30" t="s">
        <v>1498</v>
      </c>
      <c r="R2041" s="71" t="s">
        <v>73</v>
      </c>
      <c r="S2041" s="75" t="str">
        <f t="shared" si="31"/>
        <v>ND_WILLIAMS</v>
      </c>
    </row>
    <row r="2042" spans="17:19" x14ac:dyDescent="0.2">
      <c r="Q2042" s="31" t="s">
        <v>417</v>
      </c>
      <c r="R2042" s="72" t="s">
        <v>72</v>
      </c>
      <c r="S2042" s="75" t="str">
        <f t="shared" si="31"/>
        <v>OH_ADAMS</v>
      </c>
    </row>
    <row r="2043" spans="17:19" x14ac:dyDescent="0.2">
      <c r="Q2043" s="30" t="s">
        <v>733</v>
      </c>
      <c r="R2043" s="71" t="s">
        <v>72</v>
      </c>
      <c r="S2043" s="75" t="str">
        <f t="shared" si="31"/>
        <v>OH_ALLEN</v>
      </c>
    </row>
    <row r="2044" spans="17:19" x14ac:dyDescent="0.2">
      <c r="Q2044" s="31" t="s">
        <v>1499</v>
      </c>
      <c r="R2044" s="72" t="s">
        <v>72</v>
      </c>
      <c r="S2044" s="75" t="str">
        <f t="shared" si="31"/>
        <v>OH_ASHLAND</v>
      </c>
    </row>
    <row r="2045" spans="17:19" x14ac:dyDescent="0.2">
      <c r="Q2045" s="30" t="s">
        <v>1500</v>
      </c>
      <c r="R2045" s="71" t="s">
        <v>72</v>
      </c>
      <c r="S2045" s="75" t="str">
        <f t="shared" si="31"/>
        <v>OH_ASHTABULA</v>
      </c>
    </row>
    <row r="2046" spans="17:19" x14ac:dyDescent="0.2">
      <c r="Q2046" s="31" t="s">
        <v>1501</v>
      </c>
      <c r="R2046" s="72" t="s">
        <v>72</v>
      </c>
      <c r="S2046" s="75" t="str">
        <f t="shared" si="31"/>
        <v>OH_ATHENS</v>
      </c>
    </row>
    <row r="2047" spans="17:19" x14ac:dyDescent="0.2">
      <c r="Q2047" s="30" t="s">
        <v>1502</v>
      </c>
      <c r="R2047" s="71" t="s">
        <v>72</v>
      </c>
      <c r="S2047" s="75" t="str">
        <f t="shared" si="31"/>
        <v>OH_AUGLAIZE</v>
      </c>
    </row>
    <row r="2048" spans="17:19" x14ac:dyDescent="0.2">
      <c r="Q2048" s="31" t="s">
        <v>1503</v>
      </c>
      <c r="R2048" s="72" t="s">
        <v>72</v>
      </c>
      <c r="S2048" s="75" t="str">
        <f t="shared" si="31"/>
        <v>OH_BELMONT</v>
      </c>
    </row>
    <row r="2049" spans="17:19" x14ac:dyDescent="0.2">
      <c r="Q2049" s="30" t="s">
        <v>681</v>
      </c>
      <c r="R2049" s="71" t="s">
        <v>72</v>
      </c>
      <c r="S2049" s="75" t="str">
        <f t="shared" si="31"/>
        <v>OH_BROWN</v>
      </c>
    </row>
    <row r="2050" spans="17:19" x14ac:dyDescent="0.2">
      <c r="Q2050" s="31" t="s">
        <v>203</v>
      </c>
      <c r="R2050" s="72" t="s">
        <v>72</v>
      </c>
      <c r="S2050" s="75" t="str">
        <f t="shared" si="31"/>
        <v>OH_BUTLER</v>
      </c>
    </row>
    <row r="2051" spans="17:19" x14ac:dyDescent="0.2">
      <c r="Q2051" s="30" t="s">
        <v>310</v>
      </c>
      <c r="R2051" s="71" t="s">
        <v>72</v>
      </c>
      <c r="S2051" s="75" t="str">
        <f t="shared" si="31"/>
        <v>OH_CARROLL</v>
      </c>
    </row>
    <row r="2052" spans="17:19" x14ac:dyDescent="0.2">
      <c r="Q2052" s="31" t="s">
        <v>684</v>
      </c>
      <c r="R2052" s="72" t="s">
        <v>72</v>
      </c>
      <c r="S2052" s="75" t="str">
        <f t="shared" ref="S2052:S2115" si="32">UPPER(CONCATENATE(TRIM(R2052),"_",TRIM(Q2052)))</f>
        <v>OH_CHAMPAIGN</v>
      </c>
    </row>
    <row r="2053" spans="17:19" x14ac:dyDescent="0.2">
      <c r="Q2053" s="30" t="s">
        <v>312</v>
      </c>
      <c r="R2053" s="71" t="s">
        <v>72</v>
      </c>
      <c r="S2053" s="75" t="str">
        <f t="shared" si="32"/>
        <v>OH_CLARK</v>
      </c>
    </row>
    <row r="2054" spans="17:19" x14ac:dyDescent="0.2">
      <c r="Q2054" s="31" t="s">
        <v>1504</v>
      </c>
      <c r="R2054" s="72" t="s">
        <v>72</v>
      </c>
      <c r="S2054" s="75" t="str">
        <f t="shared" si="32"/>
        <v>OH_CLERMONT</v>
      </c>
    </row>
    <row r="2055" spans="17:19" x14ac:dyDescent="0.2">
      <c r="Q2055" s="30" t="s">
        <v>686</v>
      </c>
      <c r="R2055" s="71" t="s">
        <v>72</v>
      </c>
      <c r="S2055" s="75" t="str">
        <f t="shared" si="32"/>
        <v>OH_CLINTON</v>
      </c>
    </row>
    <row r="2056" spans="17:19" x14ac:dyDescent="0.2">
      <c r="Q2056" s="31" t="s">
        <v>1505</v>
      </c>
      <c r="R2056" s="72" t="s">
        <v>72</v>
      </c>
      <c r="S2056" s="75" t="str">
        <f t="shared" si="32"/>
        <v>OH_COLUMBIANA</v>
      </c>
    </row>
    <row r="2057" spans="17:19" x14ac:dyDescent="0.2">
      <c r="Q2057" s="30" t="s">
        <v>1506</v>
      </c>
      <c r="R2057" s="71" t="s">
        <v>72</v>
      </c>
      <c r="S2057" s="75" t="str">
        <f t="shared" si="32"/>
        <v>OH_COSHOCTON</v>
      </c>
    </row>
    <row r="2058" spans="17:19" x14ac:dyDescent="0.2">
      <c r="Q2058" s="31" t="s">
        <v>317</v>
      </c>
      <c r="R2058" s="72" t="s">
        <v>72</v>
      </c>
      <c r="S2058" s="75" t="str">
        <f t="shared" si="32"/>
        <v>OH_CRAWFORD</v>
      </c>
    </row>
    <row r="2059" spans="17:19" x14ac:dyDescent="0.2">
      <c r="Q2059" s="30" t="s">
        <v>1507</v>
      </c>
      <c r="R2059" s="71" t="s">
        <v>72</v>
      </c>
      <c r="S2059" s="75" t="str">
        <f t="shared" si="32"/>
        <v>OH_CUYAHOGA</v>
      </c>
    </row>
    <row r="2060" spans="17:19" x14ac:dyDescent="0.2">
      <c r="Q2060" s="31" t="s">
        <v>1508</v>
      </c>
      <c r="R2060" s="72" t="s">
        <v>72</v>
      </c>
      <c r="S2060" s="75" t="str">
        <f t="shared" si="32"/>
        <v>OH_DARKE</v>
      </c>
    </row>
    <row r="2061" spans="17:19" x14ac:dyDescent="0.2">
      <c r="Q2061" s="30" t="s">
        <v>1509</v>
      </c>
      <c r="R2061" s="71" t="s">
        <v>72</v>
      </c>
      <c r="S2061" s="75" t="str">
        <f t="shared" si="32"/>
        <v>OH_DEFIANCE</v>
      </c>
    </row>
    <row r="2062" spans="17:19" x14ac:dyDescent="0.2">
      <c r="Q2062" s="31" t="s">
        <v>738</v>
      </c>
      <c r="R2062" s="72" t="s">
        <v>72</v>
      </c>
      <c r="S2062" s="75" t="str">
        <f t="shared" si="32"/>
        <v>OH_DELAWARE</v>
      </c>
    </row>
    <row r="2063" spans="17:19" x14ac:dyDescent="0.2">
      <c r="Q2063" s="30" t="s">
        <v>1382</v>
      </c>
      <c r="R2063" s="71" t="s">
        <v>72</v>
      </c>
      <c r="S2063" s="75" t="str">
        <f t="shared" si="32"/>
        <v>OH_ERIE</v>
      </c>
    </row>
    <row r="2064" spans="17:19" x14ac:dyDescent="0.2">
      <c r="Q2064" s="31" t="s">
        <v>471</v>
      </c>
      <c r="R2064" s="72" t="s">
        <v>72</v>
      </c>
      <c r="S2064" s="75" t="str">
        <f t="shared" si="32"/>
        <v>OH_FAIRFIELD</v>
      </c>
    </row>
    <row r="2065" spans="17:19" x14ac:dyDescent="0.2">
      <c r="Q2065" s="30" t="s">
        <v>225</v>
      </c>
      <c r="R2065" s="71" t="s">
        <v>72</v>
      </c>
      <c r="S2065" s="75" t="str">
        <f t="shared" si="32"/>
        <v>OH_FAYETTE</v>
      </c>
    </row>
    <row r="2066" spans="17:19" x14ac:dyDescent="0.2">
      <c r="Q2066" s="31" t="s">
        <v>226</v>
      </c>
      <c r="R2066" s="72" t="s">
        <v>72</v>
      </c>
      <c r="S2066" s="75" t="str">
        <f t="shared" si="32"/>
        <v>OH_FRANKLIN</v>
      </c>
    </row>
    <row r="2067" spans="17:19" x14ac:dyDescent="0.2">
      <c r="Q2067" s="30" t="s">
        <v>323</v>
      </c>
      <c r="R2067" s="71" t="s">
        <v>72</v>
      </c>
      <c r="S2067" s="75" t="str">
        <f t="shared" si="32"/>
        <v>OH_FULTON</v>
      </c>
    </row>
    <row r="2068" spans="17:19" x14ac:dyDescent="0.2">
      <c r="Q2068" s="31" t="s">
        <v>1510</v>
      </c>
      <c r="R2068" s="72" t="s">
        <v>72</v>
      </c>
      <c r="S2068" s="75" t="str">
        <f t="shared" si="32"/>
        <v>OH_GALLIA</v>
      </c>
    </row>
    <row r="2069" spans="17:19" x14ac:dyDescent="0.2">
      <c r="Q2069" s="30" t="s">
        <v>1511</v>
      </c>
      <c r="R2069" s="71" t="s">
        <v>72</v>
      </c>
      <c r="S2069" s="75" t="str">
        <f t="shared" si="32"/>
        <v>OH_GEAUGA</v>
      </c>
    </row>
    <row r="2070" spans="17:19" x14ac:dyDescent="0.2">
      <c r="Q2070" s="31" t="s">
        <v>228</v>
      </c>
      <c r="R2070" s="72" t="s">
        <v>72</v>
      </c>
      <c r="S2070" s="75" t="str">
        <f t="shared" si="32"/>
        <v>OH_GREENE</v>
      </c>
    </row>
    <row r="2071" spans="17:19" x14ac:dyDescent="0.2">
      <c r="Q2071" s="30" t="s">
        <v>1512</v>
      </c>
      <c r="R2071" s="71" t="s">
        <v>72</v>
      </c>
      <c r="S2071" s="75" t="str">
        <f t="shared" si="32"/>
        <v>OH_GUERNSEY</v>
      </c>
    </row>
    <row r="2072" spans="17:19" x14ac:dyDescent="0.2">
      <c r="Q2072" s="31" t="s">
        <v>502</v>
      </c>
      <c r="R2072" s="72" t="s">
        <v>72</v>
      </c>
      <c r="S2072" s="75" t="str">
        <f t="shared" si="32"/>
        <v>OH_HAMILTON</v>
      </c>
    </row>
    <row r="2073" spans="17:19" x14ac:dyDescent="0.2">
      <c r="Q2073" s="30" t="s">
        <v>584</v>
      </c>
      <c r="R2073" s="71" t="s">
        <v>72</v>
      </c>
      <c r="S2073" s="75" t="str">
        <f t="shared" si="32"/>
        <v>OH_HANCOCK</v>
      </c>
    </row>
    <row r="2074" spans="17:19" x14ac:dyDescent="0.2">
      <c r="Q2074" s="31" t="s">
        <v>696</v>
      </c>
      <c r="R2074" s="72" t="s">
        <v>72</v>
      </c>
      <c r="S2074" s="75" t="str">
        <f t="shared" si="32"/>
        <v>OH_HARDIN</v>
      </c>
    </row>
    <row r="2075" spans="17:19" x14ac:dyDescent="0.2">
      <c r="Q2075" s="30" t="s">
        <v>743</v>
      </c>
      <c r="R2075" s="71" t="s">
        <v>72</v>
      </c>
      <c r="S2075" s="75" t="str">
        <f t="shared" si="32"/>
        <v>OH_HARRISON</v>
      </c>
    </row>
    <row r="2076" spans="17:19" x14ac:dyDescent="0.2">
      <c r="Q2076" s="31" t="s">
        <v>230</v>
      </c>
      <c r="R2076" s="72" t="s">
        <v>72</v>
      </c>
      <c r="S2076" s="75" t="str">
        <f t="shared" si="32"/>
        <v>OH_HENRY</v>
      </c>
    </row>
    <row r="2077" spans="17:19" x14ac:dyDescent="0.2">
      <c r="Q2077" s="30" t="s">
        <v>1513</v>
      </c>
      <c r="R2077" s="71" t="s">
        <v>72</v>
      </c>
      <c r="S2077" s="75" t="str">
        <f t="shared" si="32"/>
        <v>OH_HIGHLAND</v>
      </c>
    </row>
    <row r="2078" spans="17:19" x14ac:dyDescent="0.2">
      <c r="Q2078" s="31" t="s">
        <v>1514</v>
      </c>
      <c r="R2078" s="72" t="s">
        <v>72</v>
      </c>
      <c r="S2078" s="75" t="str">
        <f t="shared" si="32"/>
        <v>OH_HOCKING</v>
      </c>
    </row>
    <row r="2079" spans="17:19" x14ac:dyDescent="0.2">
      <c r="Q2079" s="30" t="s">
        <v>508</v>
      </c>
      <c r="R2079" s="71" t="s">
        <v>72</v>
      </c>
      <c r="S2079" s="75" t="str">
        <f t="shared" si="32"/>
        <v>OH_HOLMES</v>
      </c>
    </row>
    <row r="2080" spans="17:19" x14ac:dyDescent="0.2">
      <c r="Q2080" s="31" t="s">
        <v>1064</v>
      </c>
      <c r="R2080" s="72" t="s">
        <v>72</v>
      </c>
      <c r="S2080" s="75" t="str">
        <f t="shared" si="32"/>
        <v>OH_HURON</v>
      </c>
    </row>
    <row r="2081" spans="17:19" x14ac:dyDescent="0.2">
      <c r="Q2081" s="30" t="s">
        <v>232</v>
      </c>
      <c r="R2081" s="71" t="s">
        <v>72</v>
      </c>
      <c r="S2081" s="75" t="str">
        <f t="shared" si="32"/>
        <v>OH_JACKSON</v>
      </c>
    </row>
    <row r="2082" spans="17:19" x14ac:dyDescent="0.2">
      <c r="Q2082" s="31" t="s">
        <v>233</v>
      </c>
      <c r="R2082" s="72" t="s">
        <v>72</v>
      </c>
      <c r="S2082" s="75" t="str">
        <f t="shared" si="32"/>
        <v>OH_JEFFERSON</v>
      </c>
    </row>
    <row r="2083" spans="17:19" x14ac:dyDescent="0.2">
      <c r="Q2083" s="30" t="s">
        <v>704</v>
      </c>
      <c r="R2083" s="71" t="s">
        <v>72</v>
      </c>
      <c r="S2083" s="75" t="str">
        <f t="shared" si="32"/>
        <v>OH_KNOX</v>
      </c>
    </row>
    <row r="2084" spans="17:19" x14ac:dyDescent="0.2">
      <c r="Q2084" s="31" t="s">
        <v>377</v>
      </c>
      <c r="R2084" s="72" t="s">
        <v>72</v>
      </c>
      <c r="S2084" s="75" t="str">
        <f t="shared" si="32"/>
        <v>OH_LAKE</v>
      </c>
    </row>
    <row r="2085" spans="17:19" x14ac:dyDescent="0.2">
      <c r="Q2085" s="30" t="s">
        <v>236</v>
      </c>
      <c r="R2085" s="71" t="s">
        <v>72</v>
      </c>
      <c r="S2085" s="75" t="str">
        <f t="shared" si="32"/>
        <v>OH_LAWRENCE</v>
      </c>
    </row>
    <row r="2086" spans="17:19" x14ac:dyDescent="0.2">
      <c r="Q2086" s="31" t="s">
        <v>1515</v>
      </c>
      <c r="R2086" s="72" t="s">
        <v>72</v>
      </c>
      <c r="S2086" s="75" t="str">
        <f t="shared" si="32"/>
        <v>OH_LICKING</v>
      </c>
    </row>
    <row r="2087" spans="17:19" x14ac:dyDescent="0.2">
      <c r="Q2087" s="30" t="s">
        <v>335</v>
      </c>
      <c r="R2087" s="71" t="s">
        <v>72</v>
      </c>
      <c r="S2087" s="75" t="str">
        <f t="shared" si="32"/>
        <v>OH_LOGAN</v>
      </c>
    </row>
    <row r="2088" spans="17:19" x14ac:dyDescent="0.2">
      <c r="Q2088" s="31" t="s">
        <v>1516</v>
      </c>
      <c r="R2088" s="72" t="s">
        <v>72</v>
      </c>
      <c r="S2088" s="75" t="str">
        <f t="shared" si="32"/>
        <v>OH_LORAIN</v>
      </c>
    </row>
    <row r="2089" spans="17:19" x14ac:dyDescent="0.2">
      <c r="Q2089" s="30" t="s">
        <v>797</v>
      </c>
      <c r="R2089" s="71" t="s">
        <v>72</v>
      </c>
      <c r="S2089" s="75" t="str">
        <f t="shared" si="32"/>
        <v>OH_LUCAS</v>
      </c>
    </row>
    <row r="2090" spans="17:19" x14ac:dyDescent="0.2">
      <c r="Q2090" s="31" t="s">
        <v>241</v>
      </c>
      <c r="R2090" s="72" t="s">
        <v>72</v>
      </c>
      <c r="S2090" s="75" t="str">
        <f t="shared" si="32"/>
        <v>OH_MADISON</v>
      </c>
    </row>
    <row r="2091" spans="17:19" x14ac:dyDescent="0.2">
      <c r="Q2091" s="30" t="s">
        <v>1517</v>
      </c>
      <c r="R2091" s="71" t="s">
        <v>72</v>
      </c>
      <c r="S2091" s="75" t="str">
        <f t="shared" si="32"/>
        <v>OH_MAHONING</v>
      </c>
    </row>
    <row r="2092" spans="17:19" x14ac:dyDescent="0.2">
      <c r="Q2092" s="31" t="s">
        <v>243</v>
      </c>
      <c r="R2092" s="72" t="s">
        <v>72</v>
      </c>
      <c r="S2092" s="75" t="str">
        <f t="shared" si="32"/>
        <v>OH_MARION</v>
      </c>
    </row>
    <row r="2093" spans="17:19" x14ac:dyDescent="0.2">
      <c r="Q2093" s="30" t="s">
        <v>1518</v>
      </c>
      <c r="R2093" s="71" t="s">
        <v>72</v>
      </c>
      <c r="S2093" s="75" t="str">
        <f t="shared" si="32"/>
        <v>OH_MEDINA</v>
      </c>
    </row>
    <row r="2094" spans="17:19" x14ac:dyDescent="0.2">
      <c r="Q2094" s="31" t="s">
        <v>1519</v>
      </c>
      <c r="R2094" s="72" t="s">
        <v>72</v>
      </c>
      <c r="S2094" s="75" t="str">
        <f t="shared" si="32"/>
        <v>OH_MEIGS</v>
      </c>
    </row>
    <row r="2095" spans="17:19" x14ac:dyDescent="0.2">
      <c r="Q2095" s="30" t="s">
        <v>714</v>
      </c>
      <c r="R2095" s="71" t="s">
        <v>72</v>
      </c>
      <c r="S2095" s="75" t="str">
        <f t="shared" si="32"/>
        <v>OH_MERCER</v>
      </c>
    </row>
    <row r="2096" spans="17:19" x14ac:dyDescent="0.2">
      <c r="Q2096" s="31" t="s">
        <v>751</v>
      </c>
      <c r="R2096" s="72" t="s">
        <v>72</v>
      </c>
      <c r="S2096" s="75" t="str">
        <f t="shared" si="32"/>
        <v>OH_MIAMI</v>
      </c>
    </row>
    <row r="2097" spans="17:19" x14ac:dyDescent="0.2">
      <c r="Q2097" s="30" t="s">
        <v>246</v>
      </c>
      <c r="R2097" s="71" t="s">
        <v>72</v>
      </c>
      <c r="S2097" s="75" t="str">
        <f t="shared" si="32"/>
        <v>OH_MONROE</v>
      </c>
    </row>
    <row r="2098" spans="17:19" x14ac:dyDescent="0.2">
      <c r="Q2098" s="31" t="s">
        <v>247</v>
      </c>
      <c r="R2098" s="72" t="s">
        <v>72</v>
      </c>
      <c r="S2098" s="75" t="str">
        <f t="shared" si="32"/>
        <v>OH_MONTGOMERY</v>
      </c>
    </row>
    <row r="2099" spans="17:19" x14ac:dyDescent="0.2">
      <c r="Q2099" s="30" t="s">
        <v>248</v>
      </c>
      <c r="R2099" s="71" t="s">
        <v>72</v>
      </c>
      <c r="S2099" s="75" t="str">
        <f t="shared" si="32"/>
        <v>OH_MORGAN</v>
      </c>
    </row>
    <row r="2100" spans="17:19" x14ac:dyDescent="0.2">
      <c r="Q2100" s="31" t="s">
        <v>1520</v>
      </c>
      <c r="R2100" s="72" t="s">
        <v>72</v>
      </c>
      <c r="S2100" s="75" t="str">
        <f t="shared" si="32"/>
        <v>OH_MORROW</v>
      </c>
    </row>
    <row r="2101" spans="17:19" x14ac:dyDescent="0.2">
      <c r="Q2101" s="30" t="s">
        <v>1521</v>
      </c>
      <c r="R2101" s="71" t="s">
        <v>72</v>
      </c>
      <c r="S2101" s="75" t="str">
        <f t="shared" si="32"/>
        <v>OH_MUSKINGUM</v>
      </c>
    </row>
    <row r="2102" spans="17:19" x14ac:dyDescent="0.2">
      <c r="Q2102" s="31" t="s">
        <v>752</v>
      </c>
      <c r="R2102" s="72" t="s">
        <v>72</v>
      </c>
      <c r="S2102" s="75" t="str">
        <f t="shared" si="32"/>
        <v>OH_NOBLE</v>
      </c>
    </row>
    <row r="2103" spans="17:19" x14ac:dyDescent="0.2">
      <c r="Q2103" s="30" t="s">
        <v>860</v>
      </c>
      <c r="R2103" s="71" t="s">
        <v>72</v>
      </c>
      <c r="S2103" s="75" t="str">
        <f t="shared" si="32"/>
        <v>OH_OTTAWA</v>
      </c>
    </row>
    <row r="2104" spans="17:19" x14ac:dyDescent="0.2">
      <c r="Q2104" s="31" t="s">
        <v>606</v>
      </c>
      <c r="R2104" s="72" t="s">
        <v>72</v>
      </c>
      <c r="S2104" s="75" t="str">
        <f t="shared" si="32"/>
        <v>OH_PAULDING</v>
      </c>
    </row>
    <row r="2105" spans="17:19" x14ac:dyDescent="0.2">
      <c r="Q2105" s="30" t="s">
        <v>249</v>
      </c>
      <c r="R2105" s="71" t="s">
        <v>72</v>
      </c>
      <c r="S2105" s="75" t="str">
        <f t="shared" si="32"/>
        <v>OH_PERRY</v>
      </c>
    </row>
    <row r="2106" spans="17:19" x14ac:dyDescent="0.2">
      <c r="Q2106" s="31" t="s">
        <v>1522</v>
      </c>
      <c r="R2106" s="72" t="s">
        <v>72</v>
      </c>
      <c r="S2106" s="75" t="str">
        <f t="shared" si="32"/>
        <v>OH_PICKAWAY</v>
      </c>
    </row>
    <row r="2107" spans="17:19" x14ac:dyDescent="0.2">
      <c r="Q2107" s="30" t="s">
        <v>251</v>
      </c>
      <c r="R2107" s="71" t="s">
        <v>72</v>
      </c>
      <c r="S2107" s="75" t="str">
        <f t="shared" si="32"/>
        <v>OH_PIKE</v>
      </c>
    </row>
    <row r="2108" spans="17:19" x14ac:dyDescent="0.2">
      <c r="Q2108" s="31" t="s">
        <v>1523</v>
      </c>
      <c r="R2108" s="72" t="s">
        <v>72</v>
      </c>
      <c r="S2108" s="75" t="str">
        <f t="shared" si="32"/>
        <v>OH_PORTAGE</v>
      </c>
    </row>
    <row r="2109" spans="17:19" x14ac:dyDescent="0.2">
      <c r="Q2109" s="30" t="s">
        <v>1524</v>
      </c>
      <c r="R2109" s="71" t="s">
        <v>72</v>
      </c>
      <c r="S2109" s="75" t="str">
        <f t="shared" si="32"/>
        <v>OH_PREBLE</v>
      </c>
    </row>
    <row r="2110" spans="17:19" x14ac:dyDescent="0.2">
      <c r="Q2110" s="31" t="s">
        <v>522</v>
      </c>
      <c r="R2110" s="72" t="s">
        <v>72</v>
      </c>
      <c r="S2110" s="75" t="str">
        <f t="shared" si="32"/>
        <v>OH_PUTNAM</v>
      </c>
    </row>
    <row r="2111" spans="17:19" x14ac:dyDescent="0.2">
      <c r="Q2111" s="30" t="s">
        <v>719</v>
      </c>
      <c r="R2111" s="71" t="s">
        <v>72</v>
      </c>
      <c r="S2111" s="75" t="str">
        <f t="shared" si="32"/>
        <v>OH_RICHLAND</v>
      </c>
    </row>
    <row r="2112" spans="17:19" x14ac:dyDescent="0.2">
      <c r="Q2112" s="31" t="s">
        <v>1525</v>
      </c>
      <c r="R2112" s="72" t="s">
        <v>72</v>
      </c>
      <c r="S2112" s="75" t="str">
        <f t="shared" si="32"/>
        <v>OH_ROSS</v>
      </c>
    </row>
    <row r="2113" spans="17:19" x14ac:dyDescent="0.2">
      <c r="Q2113" s="30" t="s">
        <v>1526</v>
      </c>
      <c r="R2113" s="71" t="s">
        <v>72</v>
      </c>
      <c r="S2113" s="75" t="str">
        <f t="shared" si="32"/>
        <v>OH_SANDUSKY</v>
      </c>
    </row>
    <row r="2114" spans="17:19" x14ac:dyDescent="0.2">
      <c r="Q2114" s="31" t="s">
        <v>1527</v>
      </c>
      <c r="R2114" s="72" t="s">
        <v>72</v>
      </c>
      <c r="S2114" s="75" t="str">
        <f t="shared" si="32"/>
        <v>OH_SCIOTO</v>
      </c>
    </row>
    <row r="2115" spans="17:19" x14ac:dyDescent="0.2">
      <c r="Q2115" s="30" t="s">
        <v>1397</v>
      </c>
      <c r="R2115" s="71" t="s">
        <v>72</v>
      </c>
      <c r="S2115" s="75" t="str">
        <f t="shared" si="32"/>
        <v>OH_SENECA</v>
      </c>
    </row>
    <row r="2116" spans="17:19" x14ac:dyDescent="0.2">
      <c r="Q2116" s="31" t="s">
        <v>255</v>
      </c>
      <c r="R2116" s="72" t="s">
        <v>72</v>
      </c>
      <c r="S2116" s="75" t="str">
        <f t="shared" ref="S2116:S2179" si="33">UPPER(CONCATENATE(TRIM(R2116),"_",TRIM(Q2116)))</f>
        <v>OH_SHELBY</v>
      </c>
    </row>
    <row r="2117" spans="17:19" x14ac:dyDescent="0.2">
      <c r="Q2117" s="30" t="s">
        <v>723</v>
      </c>
      <c r="R2117" s="71" t="s">
        <v>72</v>
      </c>
      <c r="S2117" s="75" t="str">
        <f t="shared" si="33"/>
        <v>OH_STARK</v>
      </c>
    </row>
    <row r="2118" spans="17:19" x14ac:dyDescent="0.2">
      <c r="Q2118" s="31" t="s">
        <v>468</v>
      </c>
      <c r="R2118" s="72" t="s">
        <v>72</v>
      </c>
      <c r="S2118" s="75" t="str">
        <f t="shared" si="33"/>
        <v>OH_SUMMIT</v>
      </c>
    </row>
    <row r="2119" spans="17:19" x14ac:dyDescent="0.2">
      <c r="Q2119" s="30" t="s">
        <v>1528</v>
      </c>
      <c r="R2119" s="71" t="s">
        <v>72</v>
      </c>
      <c r="S2119" s="75" t="str">
        <f t="shared" si="33"/>
        <v>OH_TRUMBULL</v>
      </c>
    </row>
    <row r="2120" spans="17:19" x14ac:dyDescent="0.2">
      <c r="Q2120" s="31" t="s">
        <v>1529</v>
      </c>
      <c r="R2120" s="72" t="s">
        <v>72</v>
      </c>
      <c r="S2120" s="75" t="str">
        <f t="shared" si="33"/>
        <v>OH_TUSCARAWAS</v>
      </c>
    </row>
    <row r="2121" spans="17:19" x14ac:dyDescent="0.2">
      <c r="Q2121" s="30" t="s">
        <v>356</v>
      </c>
      <c r="R2121" s="71" t="s">
        <v>72</v>
      </c>
      <c r="S2121" s="75" t="str">
        <f t="shared" si="33"/>
        <v>OH_UNION</v>
      </c>
    </row>
    <row r="2122" spans="17:19" x14ac:dyDescent="0.2">
      <c r="Q2122" s="31" t="s">
        <v>1530</v>
      </c>
      <c r="R2122" s="72" t="s">
        <v>72</v>
      </c>
      <c r="S2122" s="75" t="str">
        <f t="shared" si="33"/>
        <v>OH_VAN WERT</v>
      </c>
    </row>
    <row r="2123" spans="17:19" x14ac:dyDescent="0.2">
      <c r="Q2123" s="30" t="s">
        <v>1531</v>
      </c>
      <c r="R2123" s="71" t="s">
        <v>72</v>
      </c>
      <c r="S2123" s="75" t="str">
        <f t="shared" si="33"/>
        <v>OH_VINTON</v>
      </c>
    </row>
    <row r="2124" spans="17:19" x14ac:dyDescent="0.2">
      <c r="Q2124" s="31" t="s">
        <v>633</v>
      </c>
      <c r="R2124" s="72" t="s">
        <v>72</v>
      </c>
      <c r="S2124" s="75" t="str">
        <f t="shared" si="33"/>
        <v>OH_WARREN</v>
      </c>
    </row>
    <row r="2125" spans="17:19" x14ac:dyDescent="0.2">
      <c r="Q2125" s="30" t="s">
        <v>261</v>
      </c>
      <c r="R2125" s="71" t="s">
        <v>72</v>
      </c>
      <c r="S2125" s="75" t="str">
        <f t="shared" si="33"/>
        <v>OH_WASHINGTON</v>
      </c>
    </row>
    <row r="2126" spans="17:19" x14ac:dyDescent="0.2">
      <c r="Q2126" s="31" t="s">
        <v>634</v>
      </c>
      <c r="R2126" s="72" t="s">
        <v>72</v>
      </c>
      <c r="S2126" s="75" t="str">
        <f t="shared" si="33"/>
        <v>OH_WAYNE</v>
      </c>
    </row>
    <row r="2127" spans="17:19" x14ac:dyDescent="0.2">
      <c r="Q2127" s="30" t="s">
        <v>1498</v>
      </c>
      <c r="R2127" s="71" t="s">
        <v>72</v>
      </c>
      <c r="S2127" s="75" t="str">
        <f t="shared" si="33"/>
        <v>OH_WILLIAMS</v>
      </c>
    </row>
    <row r="2128" spans="17:19" x14ac:dyDescent="0.2">
      <c r="Q2128" s="31" t="s">
        <v>1532</v>
      </c>
      <c r="R2128" s="72" t="s">
        <v>72</v>
      </c>
      <c r="S2128" s="75" t="str">
        <f t="shared" si="33"/>
        <v>OH_WOOD</v>
      </c>
    </row>
    <row r="2129" spans="17:19" x14ac:dyDescent="0.2">
      <c r="Q2129" s="30" t="s">
        <v>1533</v>
      </c>
      <c r="R2129" s="71" t="s">
        <v>72</v>
      </c>
      <c r="S2129" s="75" t="str">
        <f t="shared" si="33"/>
        <v>OH_WYANDOT</v>
      </c>
    </row>
    <row r="2130" spans="17:19" x14ac:dyDescent="0.2">
      <c r="Q2130" s="31" t="s">
        <v>774</v>
      </c>
      <c r="R2130" s="72" t="s">
        <v>27</v>
      </c>
      <c r="S2130" s="75" t="str">
        <f t="shared" si="33"/>
        <v>OK_ADAIR</v>
      </c>
    </row>
    <row r="2131" spans="17:19" x14ac:dyDescent="0.2">
      <c r="Q2131" s="30" t="s">
        <v>1534</v>
      </c>
      <c r="R2131" s="71" t="s">
        <v>27</v>
      </c>
      <c r="S2131" s="75" t="str">
        <f t="shared" si="33"/>
        <v>OK_ALFALFA</v>
      </c>
    </row>
    <row r="2132" spans="17:19" x14ac:dyDescent="0.2">
      <c r="Q2132" s="31" t="s">
        <v>1535</v>
      </c>
      <c r="R2132" s="72" t="s">
        <v>27</v>
      </c>
      <c r="S2132" s="75" t="str">
        <f t="shared" si="33"/>
        <v>OK_ATOKA</v>
      </c>
    </row>
    <row r="2133" spans="17:19" x14ac:dyDescent="0.2">
      <c r="Q2133" s="30" t="s">
        <v>1536</v>
      </c>
      <c r="R2133" s="71" t="s">
        <v>27</v>
      </c>
      <c r="S2133" s="75" t="str">
        <f t="shared" si="33"/>
        <v>OK_BEAVER</v>
      </c>
    </row>
    <row r="2134" spans="17:19" x14ac:dyDescent="0.2">
      <c r="Q2134" s="31" t="s">
        <v>1537</v>
      </c>
      <c r="R2134" s="72" t="s">
        <v>27</v>
      </c>
      <c r="S2134" s="75" t="str">
        <f t="shared" si="33"/>
        <v>OK_BECKHAM</v>
      </c>
    </row>
    <row r="2135" spans="17:19" x14ac:dyDescent="0.2">
      <c r="Q2135" s="30" t="s">
        <v>651</v>
      </c>
      <c r="R2135" s="71" t="s">
        <v>27</v>
      </c>
      <c r="S2135" s="75" t="str">
        <f t="shared" si="33"/>
        <v>OK_BLAINE</v>
      </c>
    </row>
    <row r="2136" spans="17:19" x14ac:dyDescent="0.2">
      <c r="Q2136" s="31" t="s">
        <v>544</v>
      </c>
      <c r="R2136" s="72" t="s">
        <v>27</v>
      </c>
      <c r="S2136" s="75" t="str">
        <f t="shared" si="33"/>
        <v>OK_BRYAN</v>
      </c>
    </row>
    <row r="2137" spans="17:19" x14ac:dyDescent="0.2">
      <c r="Q2137" s="30" t="s">
        <v>1538</v>
      </c>
      <c r="R2137" s="71" t="s">
        <v>27</v>
      </c>
      <c r="S2137" s="75" t="str">
        <f t="shared" si="33"/>
        <v>OK_CADDO</v>
      </c>
    </row>
    <row r="2138" spans="17:19" x14ac:dyDescent="0.2">
      <c r="Q2138" s="31" t="s">
        <v>1539</v>
      </c>
      <c r="R2138" s="72" t="s">
        <v>27</v>
      </c>
      <c r="S2138" s="75" t="str">
        <f t="shared" si="33"/>
        <v>OK_CANADIAN</v>
      </c>
    </row>
    <row r="2139" spans="17:19" x14ac:dyDescent="0.2">
      <c r="Q2139" s="30" t="s">
        <v>900</v>
      </c>
      <c r="R2139" s="71" t="s">
        <v>27</v>
      </c>
      <c r="S2139" s="75" t="str">
        <f t="shared" si="33"/>
        <v>OK_CARTER</v>
      </c>
    </row>
    <row r="2140" spans="17:19" x14ac:dyDescent="0.2">
      <c r="Q2140" s="31" t="s">
        <v>206</v>
      </c>
      <c r="R2140" s="72" t="s">
        <v>27</v>
      </c>
      <c r="S2140" s="75" t="str">
        <f t="shared" si="33"/>
        <v>OK_CHEROKEE</v>
      </c>
    </row>
    <row r="2141" spans="17:19" x14ac:dyDescent="0.2">
      <c r="Q2141" s="30" t="s">
        <v>208</v>
      </c>
      <c r="R2141" s="71" t="s">
        <v>27</v>
      </c>
      <c r="S2141" s="75" t="str">
        <f t="shared" si="33"/>
        <v>OK_CHOCTAW</v>
      </c>
    </row>
    <row r="2142" spans="17:19" x14ac:dyDescent="0.2">
      <c r="Q2142" s="31" t="s">
        <v>1540</v>
      </c>
      <c r="R2142" s="72" t="s">
        <v>27</v>
      </c>
      <c r="S2142" s="75" t="str">
        <f t="shared" si="33"/>
        <v>OK_CIMARRON</v>
      </c>
    </row>
    <row r="2143" spans="17:19" x14ac:dyDescent="0.2">
      <c r="Q2143" s="30" t="s">
        <v>313</v>
      </c>
      <c r="R2143" s="71" t="s">
        <v>27</v>
      </c>
      <c r="S2143" s="75" t="str">
        <f t="shared" si="33"/>
        <v>OK_CLEVELAND</v>
      </c>
    </row>
    <row r="2144" spans="17:19" x14ac:dyDescent="0.2">
      <c r="Q2144" s="31" t="s">
        <v>1541</v>
      </c>
      <c r="R2144" s="72" t="s">
        <v>27</v>
      </c>
      <c r="S2144" s="75" t="str">
        <f t="shared" si="33"/>
        <v>OK_COAL</v>
      </c>
    </row>
    <row r="2145" spans="17:19" x14ac:dyDescent="0.2">
      <c r="Q2145" s="30" t="s">
        <v>828</v>
      </c>
      <c r="R2145" s="71" t="s">
        <v>27</v>
      </c>
      <c r="S2145" s="75" t="str">
        <f t="shared" si="33"/>
        <v>OK_COMANCHE</v>
      </c>
    </row>
    <row r="2146" spans="17:19" x14ac:dyDescent="0.2">
      <c r="Q2146" s="31" t="s">
        <v>1542</v>
      </c>
      <c r="R2146" s="72" t="s">
        <v>27</v>
      </c>
      <c r="S2146" s="75" t="str">
        <f t="shared" si="33"/>
        <v>OK_COTTON</v>
      </c>
    </row>
    <row r="2147" spans="17:19" x14ac:dyDescent="0.2">
      <c r="Q2147" s="30" t="s">
        <v>1543</v>
      </c>
      <c r="R2147" s="71" t="s">
        <v>27</v>
      </c>
      <c r="S2147" s="75" t="str">
        <f t="shared" si="33"/>
        <v>OK_CRAIG</v>
      </c>
    </row>
    <row r="2148" spans="17:19" x14ac:dyDescent="0.2">
      <c r="Q2148" s="31" t="s">
        <v>1544</v>
      </c>
      <c r="R2148" s="72" t="s">
        <v>27</v>
      </c>
      <c r="S2148" s="75" t="str">
        <f t="shared" si="33"/>
        <v>OK_CREEK</v>
      </c>
    </row>
    <row r="2149" spans="17:19" x14ac:dyDescent="0.2">
      <c r="Q2149" s="30" t="s">
        <v>430</v>
      </c>
      <c r="R2149" s="71" t="s">
        <v>27</v>
      </c>
      <c r="S2149" s="75" t="str">
        <f t="shared" si="33"/>
        <v>OK_CUSTER</v>
      </c>
    </row>
    <row r="2150" spans="17:19" x14ac:dyDescent="0.2">
      <c r="Q2150" s="31" t="s">
        <v>738</v>
      </c>
      <c r="R2150" s="72" t="s">
        <v>27</v>
      </c>
      <c r="S2150" s="75" t="str">
        <f t="shared" si="33"/>
        <v>OK_DELAWARE</v>
      </c>
    </row>
    <row r="2151" spans="17:19" x14ac:dyDescent="0.2">
      <c r="Q2151" s="30" t="s">
        <v>1545</v>
      </c>
      <c r="R2151" s="71" t="s">
        <v>27</v>
      </c>
      <c r="S2151" s="75" t="str">
        <f t="shared" si="33"/>
        <v>OK_DEWEY</v>
      </c>
    </row>
    <row r="2152" spans="17:19" x14ac:dyDescent="0.2">
      <c r="Q2152" s="31" t="s">
        <v>832</v>
      </c>
      <c r="R2152" s="72" t="s">
        <v>27</v>
      </c>
      <c r="S2152" s="75" t="str">
        <f t="shared" si="33"/>
        <v>OK_ELLIS</v>
      </c>
    </row>
    <row r="2153" spans="17:19" x14ac:dyDescent="0.2">
      <c r="Q2153" s="30" t="s">
        <v>439</v>
      </c>
      <c r="R2153" s="71" t="s">
        <v>27</v>
      </c>
      <c r="S2153" s="75" t="str">
        <f t="shared" si="33"/>
        <v>OK_GARFIELD</v>
      </c>
    </row>
    <row r="2154" spans="17:19" x14ac:dyDescent="0.2">
      <c r="Q2154" s="31" t="s">
        <v>1546</v>
      </c>
      <c r="R2154" s="72" t="s">
        <v>27</v>
      </c>
      <c r="S2154" s="75" t="str">
        <f t="shared" si="33"/>
        <v>OK_GARVIN</v>
      </c>
    </row>
    <row r="2155" spans="17:19" x14ac:dyDescent="0.2">
      <c r="Q2155" s="30" t="s">
        <v>580</v>
      </c>
      <c r="R2155" s="71" t="s">
        <v>27</v>
      </c>
      <c r="S2155" s="75" t="str">
        <f t="shared" si="33"/>
        <v>OK_GRADY</v>
      </c>
    </row>
    <row r="2156" spans="17:19" x14ac:dyDescent="0.2">
      <c r="Q2156" s="31" t="s">
        <v>325</v>
      </c>
      <c r="R2156" s="72" t="s">
        <v>27</v>
      </c>
      <c r="S2156" s="75" t="str">
        <f t="shared" si="33"/>
        <v>OK_GRANT</v>
      </c>
    </row>
    <row r="2157" spans="17:19" x14ac:dyDescent="0.2">
      <c r="Q2157" s="30" t="s">
        <v>1547</v>
      </c>
      <c r="R2157" s="71" t="s">
        <v>27</v>
      </c>
      <c r="S2157" s="75" t="str">
        <f t="shared" si="33"/>
        <v>OK_GREER</v>
      </c>
    </row>
    <row r="2158" spans="17:19" x14ac:dyDescent="0.2">
      <c r="Q2158" s="31" t="s">
        <v>1548</v>
      </c>
      <c r="R2158" s="72" t="s">
        <v>27</v>
      </c>
      <c r="S2158" s="75" t="str">
        <f t="shared" si="33"/>
        <v>OK_HARMON</v>
      </c>
    </row>
    <row r="2159" spans="17:19" x14ac:dyDescent="0.2">
      <c r="Q2159" s="30" t="s">
        <v>840</v>
      </c>
      <c r="R2159" s="71" t="s">
        <v>27</v>
      </c>
      <c r="S2159" s="75" t="str">
        <f t="shared" si="33"/>
        <v>OK_HARPER</v>
      </c>
    </row>
    <row r="2160" spans="17:19" x14ac:dyDescent="0.2">
      <c r="Q2160" s="31" t="s">
        <v>842</v>
      </c>
      <c r="R2160" s="72" t="s">
        <v>27</v>
      </c>
      <c r="S2160" s="75" t="str">
        <f t="shared" si="33"/>
        <v>OK_HASKELL</v>
      </c>
    </row>
    <row r="2161" spans="17:19" x14ac:dyDescent="0.2">
      <c r="Q2161" s="30" t="s">
        <v>1549</v>
      </c>
      <c r="R2161" s="71" t="s">
        <v>27</v>
      </c>
      <c r="S2161" s="75" t="str">
        <f t="shared" si="33"/>
        <v>OK_HUGHES</v>
      </c>
    </row>
    <row r="2162" spans="17:19" x14ac:dyDescent="0.2">
      <c r="Q2162" s="31" t="s">
        <v>232</v>
      </c>
      <c r="R2162" s="72" t="s">
        <v>27</v>
      </c>
      <c r="S2162" s="75" t="str">
        <f t="shared" si="33"/>
        <v>OK_JACKSON</v>
      </c>
    </row>
    <row r="2163" spans="17:19" x14ac:dyDescent="0.2">
      <c r="Q2163" s="30" t="s">
        <v>233</v>
      </c>
      <c r="R2163" s="71" t="s">
        <v>27</v>
      </c>
      <c r="S2163" s="75" t="str">
        <f t="shared" si="33"/>
        <v>OK_JEFFERSON</v>
      </c>
    </row>
    <row r="2164" spans="17:19" x14ac:dyDescent="0.2">
      <c r="Q2164" s="31" t="s">
        <v>1439</v>
      </c>
      <c r="R2164" s="72" t="s">
        <v>27</v>
      </c>
      <c r="S2164" s="75" t="str">
        <f t="shared" si="33"/>
        <v>OK_JOHNSTON</v>
      </c>
    </row>
    <row r="2165" spans="17:19" x14ac:dyDescent="0.2">
      <c r="Q2165" s="30" t="s">
        <v>1550</v>
      </c>
      <c r="R2165" s="71" t="s">
        <v>27</v>
      </c>
      <c r="S2165" s="75" t="str">
        <f t="shared" si="33"/>
        <v>OK_KAY</v>
      </c>
    </row>
    <row r="2166" spans="17:19" x14ac:dyDescent="0.2">
      <c r="Q2166" s="31" t="s">
        <v>1551</v>
      </c>
      <c r="R2166" s="72" t="s">
        <v>27</v>
      </c>
      <c r="S2166" s="75" t="str">
        <f t="shared" si="33"/>
        <v>OK_KINGFISHER</v>
      </c>
    </row>
    <row r="2167" spans="17:19" x14ac:dyDescent="0.2">
      <c r="Q2167" s="30" t="s">
        <v>445</v>
      </c>
      <c r="R2167" s="71" t="s">
        <v>27</v>
      </c>
      <c r="S2167" s="75" t="str">
        <f t="shared" si="33"/>
        <v>OK_KIOWA</v>
      </c>
    </row>
    <row r="2168" spans="17:19" x14ac:dyDescent="0.2">
      <c r="Q2168" s="31" t="s">
        <v>1552</v>
      </c>
      <c r="R2168" s="72" t="s">
        <v>27</v>
      </c>
      <c r="S2168" s="75" t="str">
        <f t="shared" si="33"/>
        <v>OK_LATIMER</v>
      </c>
    </row>
    <row r="2169" spans="17:19" x14ac:dyDescent="0.2">
      <c r="Q2169" s="30" t="s">
        <v>1553</v>
      </c>
      <c r="R2169" s="71" t="s">
        <v>27</v>
      </c>
      <c r="S2169" s="75" t="str">
        <f t="shared" si="33"/>
        <v>OK_LE FLORE</v>
      </c>
    </row>
    <row r="2170" spans="17:19" x14ac:dyDescent="0.2">
      <c r="Q2170" s="31" t="s">
        <v>333</v>
      </c>
      <c r="R2170" s="72" t="s">
        <v>27</v>
      </c>
      <c r="S2170" s="75" t="str">
        <f t="shared" si="33"/>
        <v>OK_LINCOLN</v>
      </c>
    </row>
    <row r="2171" spans="17:19" x14ac:dyDescent="0.2">
      <c r="Q2171" s="30" t="s">
        <v>335</v>
      </c>
      <c r="R2171" s="71" t="s">
        <v>27</v>
      </c>
      <c r="S2171" s="75" t="str">
        <f t="shared" si="33"/>
        <v>OK_LOGAN</v>
      </c>
    </row>
    <row r="2172" spans="17:19" x14ac:dyDescent="0.2">
      <c r="Q2172" s="31" t="s">
        <v>1554</v>
      </c>
      <c r="R2172" s="72" t="s">
        <v>27</v>
      </c>
      <c r="S2172" s="75" t="str">
        <f t="shared" si="33"/>
        <v>OK_LOVE</v>
      </c>
    </row>
    <row r="2173" spans="17:19" x14ac:dyDescent="0.2">
      <c r="Q2173" s="30" t="s">
        <v>1555</v>
      </c>
      <c r="R2173" s="71" t="s">
        <v>27</v>
      </c>
      <c r="S2173" s="75" t="str">
        <f t="shared" si="33"/>
        <v>OK_MCCLAIN</v>
      </c>
    </row>
    <row r="2174" spans="17:19" x14ac:dyDescent="0.2">
      <c r="Q2174" s="31" t="s">
        <v>1556</v>
      </c>
      <c r="R2174" s="72" t="s">
        <v>27</v>
      </c>
      <c r="S2174" s="75" t="str">
        <f t="shared" si="33"/>
        <v>OK_MCCURTAIN</v>
      </c>
    </row>
    <row r="2175" spans="17:19" x14ac:dyDescent="0.2">
      <c r="Q2175" s="30" t="s">
        <v>599</v>
      </c>
      <c r="R2175" s="71" t="s">
        <v>27</v>
      </c>
      <c r="S2175" s="75" t="str">
        <f t="shared" si="33"/>
        <v>OK_MCINTOSH</v>
      </c>
    </row>
    <row r="2176" spans="17:19" x14ac:dyDescent="0.2">
      <c r="Q2176" s="31" t="s">
        <v>1557</v>
      </c>
      <c r="R2176" s="72" t="s">
        <v>27</v>
      </c>
      <c r="S2176" s="75" t="str">
        <f t="shared" si="33"/>
        <v>OK_MAJOR</v>
      </c>
    </row>
    <row r="2177" spans="17:19" x14ac:dyDescent="0.2">
      <c r="Q2177" s="30" t="s">
        <v>244</v>
      </c>
      <c r="R2177" s="71" t="s">
        <v>27</v>
      </c>
      <c r="S2177" s="75" t="str">
        <f t="shared" si="33"/>
        <v>OK_MARSHALL</v>
      </c>
    </row>
    <row r="2178" spans="17:19" x14ac:dyDescent="0.2">
      <c r="Q2178" s="31" t="s">
        <v>1558</v>
      </c>
      <c r="R2178" s="72" t="s">
        <v>27</v>
      </c>
      <c r="S2178" s="75" t="str">
        <f t="shared" si="33"/>
        <v>OK_MAYES</v>
      </c>
    </row>
    <row r="2179" spans="17:19" x14ac:dyDescent="0.2">
      <c r="Q2179" s="30" t="s">
        <v>602</v>
      </c>
      <c r="R2179" s="71" t="s">
        <v>27</v>
      </c>
      <c r="S2179" s="75" t="str">
        <f t="shared" si="33"/>
        <v>OK_MURRAY</v>
      </c>
    </row>
    <row r="2180" spans="17:19" x14ac:dyDescent="0.2">
      <c r="Q2180" s="31" t="s">
        <v>1559</v>
      </c>
      <c r="R2180" s="72" t="s">
        <v>27</v>
      </c>
      <c r="S2180" s="75" t="str">
        <f t="shared" ref="S2180:S2243" si="34">UPPER(CONCATENATE(TRIM(R2180),"_",TRIM(Q2180)))</f>
        <v>OK_MUSKOGEE</v>
      </c>
    </row>
    <row r="2181" spans="17:19" x14ac:dyDescent="0.2">
      <c r="Q2181" s="30" t="s">
        <v>752</v>
      </c>
      <c r="R2181" s="71" t="s">
        <v>27</v>
      </c>
      <c r="S2181" s="75" t="str">
        <f t="shared" si="34"/>
        <v>OK_NOBLE</v>
      </c>
    </row>
    <row r="2182" spans="17:19" x14ac:dyDescent="0.2">
      <c r="Q2182" s="31" t="s">
        <v>1560</v>
      </c>
      <c r="R2182" s="72" t="s">
        <v>27</v>
      </c>
      <c r="S2182" s="75" t="str">
        <f t="shared" si="34"/>
        <v>OK_NOWATA</v>
      </c>
    </row>
    <row r="2183" spans="17:19" x14ac:dyDescent="0.2">
      <c r="Q2183" s="30" t="s">
        <v>1561</v>
      </c>
      <c r="R2183" s="71" t="s">
        <v>27</v>
      </c>
      <c r="S2183" s="75" t="str">
        <f t="shared" si="34"/>
        <v>OK_OKFUSKEE</v>
      </c>
    </row>
    <row r="2184" spans="17:19" x14ac:dyDescent="0.2">
      <c r="Q2184" s="31" t="s">
        <v>1562</v>
      </c>
      <c r="R2184" s="72" t="s">
        <v>27</v>
      </c>
      <c r="S2184" s="75" t="str">
        <f t="shared" si="34"/>
        <v>OK_OKLAHOMA</v>
      </c>
    </row>
    <row r="2185" spans="17:19" x14ac:dyDescent="0.2">
      <c r="Q2185" s="30" t="s">
        <v>1563</v>
      </c>
      <c r="R2185" s="71" t="s">
        <v>27</v>
      </c>
      <c r="S2185" s="75" t="str">
        <f t="shared" si="34"/>
        <v>OK_OKMULGEE</v>
      </c>
    </row>
    <row r="2186" spans="17:19" x14ac:dyDescent="0.2">
      <c r="Q2186" s="31" t="s">
        <v>858</v>
      </c>
      <c r="R2186" s="72" t="s">
        <v>27</v>
      </c>
      <c r="S2186" s="75" t="str">
        <f t="shared" si="34"/>
        <v>OK_OSAGE</v>
      </c>
    </row>
    <row r="2187" spans="17:19" x14ac:dyDescent="0.2">
      <c r="Q2187" s="30" t="s">
        <v>860</v>
      </c>
      <c r="R2187" s="71" t="s">
        <v>27</v>
      </c>
      <c r="S2187" s="75" t="str">
        <f t="shared" si="34"/>
        <v>OK_OTTAWA</v>
      </c>
    </row>
    <row r="2188" spans="17:19" x14ac:dyDescent="0.2">
      <c r="Q2188" s="31" t="s">
        <v>861</v>
      </c>
      <c r="R2188" s="72" t="s">
        <v>27</v>
      </c>
      <c r="S2188" s="75" t="str">
        <f t="shared" si="34"/>
        <v>OK_PAWNEE</v>
      </c>
    </row>
    <row r="2189" spans="17:19" x14ac:dyDescent="0.2">
      <c r="Q2189" s="30" t="s">
        <v>1564</v>
      </c>
      <c r="R2189" s="71" t="s">
        <v>27</v>
      </c>
      <c r="S2189" s="75" t="str">
        <f t="shared" si="34"/>
        <v>OK_PAYNE</v>
      </c>
    </row>
    <row r="2190" spans="17:19" x14ac:dyDescent="0.2">
      <c r="Q2190" s="31" t="s">
        <v>1565</v>
      </c>
      <c r="R2190" s="72" t="s">
        <v>27</v>
      </c>
      <c r="S2190" s="75" t="str">
        <f t="shared" si="34"/>
        <v>OK_PITTSBURG</v>
      </c>
    </row>
    <row r="2191" spans="17:19" x14ac:dyDescent="0.2">
      <c r="Q2191" s="30" t="s">
        <v>1189</v>
      </c>
      <c r="R2191" s="71" t="s">
        <v>27</v>
      </c>
      <c r="S2191" s="75" t="str">
        <f t="shared" si="34"/>
        <v>OK_PONTOTOC</v>
      </c>
    </row>
    <row r="2192" spans="17:19" x14ac:dyDescent="0.2">
      <c r="Q2192" s="31" t="s">
        <v>862</v>
      </c>
      <c r="R2192" s="72" t="s">
        <v>27</v>
      </c>
      <c r="S2192" s="75" t="str">
        <f t="shared" si="34"/>
        <v>OK_POTTAWATOMIE</v>
      </c>
    </row>
    <row r="2193" spans="17:19" x14ac:dyDescent="0.2">
      <c r="Q2193" s="30" t="s">
        <v>1566</v>
      </c>
      <c r="R2193" s="71" t="s">
        <v>27</v>
      </c>
      <c r="S2193" s="75" t="str">
        <f t="shared" si="34"/>
        <v>OK_PUSHMATAHA</v>
      </c>
    </row>
    <row r="2194" spans="17:19" x14ac:dyDescent="0.2">
      <c r="Q2194" s="31" t="s">
        <v>1567</v>
      </c>
      <c r="R2194" s="72" t="s">
        <v>27</v>
      </c>
      <c r="S2194" s="75" t="str">
        <f t="shared" si="34"/>
        <v>OK_ROGER MILLS</v>
      </c>
    </row>
    <row r="2195" spans="17:19" x14ac:dyDescent="0.2">
      <c r="Q2195" s="30" t="s">
        <v>1568</v>
      </c>
      <c r="R2195" s="71" t="s">
        <v>27</v>
      </c>
      <c r="S2195" s="75" t="str">
        <f t="shared" si="34"/>
        <v>OK_ROGERS</v>
      </c>
    </row>
    <row r="2196" spans="17:19" x14ac:dyDescent="0.2">
      <c r="Q2196" s="31" t="s">
        <v>527</v>
      </c>
      <c r="R2196" s="72" t="s">
        <v>27</v>
      </c>
      <c r="S2196" s="75" t="str">
        <f t="shared" si="34"/>
        <v>OK_SEMINOLE</v>
      </c>
    </row>
    <row r="2197" spans="17:19" x14ac:dyDescent="0.2">
      <c r="Q2197" s="30" t="s">
        <v>1569</v>
      </c>
      <c r="R2197" s="71" t="s">
        <v>27</v>
      </c>
      <c r="S2197" s="75" t="str">
        <f t="shared" si="34"/>
        <v>OK_SEQUOYAH</v>
      </c>
    </row>
    <row r="2198" spans="17:19" x14ac:dyDescent="0.2">
      <c r="Q2198" s="31" t="s">
        <v>616</v>
      </c>
      <c r="R2198" s="72" t="s">
        <v>27</v>
      </c>
      <c r="S2198" s="75" t="str">
        <f t="shared" si="34"/>
        <v>OK_STEPHENS</v>
      </c>
    </row>
    <row r="2199" spans="17:19" x14ac:dyDescent="0.2">
      <c r="Q2199" s="30" t="s">
        <v>1240</v>
      </c>
      <c r="R2199" s="71" t="s">
        <v>27</v>
      </c>
      <c r="S2199" s="75" t="str">
        <f t="shared" si="34"/>
        <v>OK_TEXAS</v>
      </c>
    </row>
    <row r="2200" spans="17:19" x14ac:dyDescent="0.2">
      <c r="Q2200" s="31" t="s">
        <v>1570</v>
      </c>
      <c r="R2200" s="72" t="s">
        <v>27</v>
      </c>
      <c r="S2200" s="75" t="str">
        <f t="shared" si="34"/>
        <v>OK_TILLMAN</v>
      </c>
    </row>
    <row r="2201" spans="17:19" x14ac:dyDescent="0.2">
      <c r="Q2201" s="30" t="s">
        <v>1571</v>
      </c>
      <c r="R2201" s="71" t="s">
        <v>27</v>
      </c>
      <c r="S2201" s="75" t="str">
        <f t="shared" si="34"/>
        <v>OK_TULSA</v>
      </c>
    </row>
    <row r="2202" spans="17:19" x14ac:dyDescent="0.2">
      <c r="Q2202" s="31" t="s">
        <v>1572</v>
      </c>
      <c r="R2202" s="72" t="s">
        <v>27</v>
      </c>
      <c r="S2202" s="75" t="str">
        <f t="shared" si="34"/>
        <v>OK_WAGONER</v>
      </c>
    </row>
    <row r="2203" spans="17:19" x14ac:dyDescent="0.2">
      <c r="Q2203" s="30" t="s">
        <v>261</v>
      </c>
      <c r="R2203" s="71" t="s">
        <v>27</v>
      </c>
      <c r="S2203" s="75" t="str">
        <f t="shared" si="34"/>
        <v>OK_WASHINGTON</v>
      </c>
    </row>
    <row r="2204" spans="17:19" x14ac:dyDescent="0.2">
      <c r="Q2204" s="31" t="s">
        <v>1573</v>
      </c>
      <c r="R2204" s="72" t="s">
        <v>27</v>
      </c>
      <c r="S2204" s="75" t="str">
        <f t="shared" si="34"/>
        <v>OK_WASHITA</v>
      </c>
    </row>
    <row r="2205" spans="17:19" x14ac:dyDescent="0.2">
      <c r="Q2205" s="30" t="s">
        <v>1574</v>
      </c>
      <c r="R2205" s="71" t="s">
        <v>27</v>
      </c>
      <c r="S2205" s="75" t="str">
        <f t="shared" si="34"/>
        <v>OK_WOODS</v>
      </c>
    </row>
    <row r="2206" spans="17:19" x14ac:dyDescent="0.2">
      <c r="Q2206" s="31" t="s">
        <v>1575</v>
      </c>
      <c r="R2206" s="72" t="s">
        <v>27</v>
      </c>
      <c r="S2206" s="75" t="str">
        <f t="shared" si="34"/>
        <v>OK_WOODWARD</v>
      </c>
    </row>
    <row r="2207" spans="17:19" x14ac:dyDescent="0.2">
      <c r="Q2207" s="30" t="s">
        <v>485</v>
      </c>
      <c r="R2207" s="71" t="s">
        <v>71</v>
      </c>
      <c r="S2207" s="75" t="str">
        <f t="shared" si="34"/>
        <v>OR_BAKER</v>
      </c>
    </row>
    <row r="2208" spans="17:19" x14ac:dyDescent="0.2">
      <c r="Q2208" s="31" t="s">
        <v>307</v>
      </c>
      <c r="R2208" s="72" t="s">
        <v>71</v>
      </c>
      <c r="S2208" s="75" t="str">
        <f t="shared" si="34"/>
        <v>OR_BENTON</v>
      </c>
    </row>
    <row r="2209" spans="17:19" x14ac:dyDescent="0.2">
      <c r="Q2209" s="30" t="s">
        <v>1576</v>
      </c>
      <c r="R2209" s="71" t="s">
        <v>71</v>
      </c>
      <c r="S2209" s="75" t="str">
        <f t="shared" si="34"/>
        <v>OR_CLACKAMAS</v>
      </c>
    </row>
    <row r="2210" spans="17:19" x14ac:dyDescent="0.2">
      <c r="Q2210" s="31" t="s">
        <v>1577</v>
      </c>
      <c r="R2210" s="72" t="s">
        <v>71</v>
      </c>
      <c r="S2210" s="75" t="str">
        <f t="shared" si="34"/>
        <v>OR_CLATSOP</v>
      </c>
    </row>
    <row r="2211" spans="17:19" x14ac:dyDescent="0.2">
      <c r="Q2211" s="30" t="s">
        <v>314</v>
      </c>
      <c r="R2211" s="71" t="s">
        <v>71</v>
      </c>
      <c r="S2211" s="75" t="str">
        <f t="shared" si="34"/>
        <v>OR_COLUMBIA</v>
      </c>
    </row>
    <row r="2212" spans="17:19" x14ac:dyDescent="0.2">
      <c r="Q2212" s="31" t="s">
        <v>1333</v>
      </c>
      <c r="R2212" s="72" t="s">
        <v>71</v>
      </c>
      <c r="S2212" s="75" t="str">
        <f t="shared" si="34"/>
        <v>OR_COOS</v>
      </c>
    </row>
    <row r="2213" spans="17:19" x14ac:dyDescent="0.2">
      <c r="Q2213" s="30" t="s">
        <v>1578</v>
      </c>
      <c r="R2213" s="71" t="s">
        <v>71</v>
      </c>
      <c r="S2213" s="75" t="str">
        <f t="shared" si="34"/>
        <v>OR_CROOK</v>
      </c>
    </row>
    <row r="2214" spans="17:19" x14ac:dyDescent="0.2">
      <c r="Q2214" s="31" t="s">
        <v>1353</v>
      </c>
      <c r="R2214" s="72" t="s">
        <v>71</v>
      </c>
      <c r="S2214" s="75" t="str">
        <f t="shared" si="34"/>
        <v>OR_CURRY</v>
      </c>
    </row>
    <row r="2215" spans="17:19" x14ac:dyDescent="0.2">
      <c r="Q2215" s="30" t="s">
        <v>1579</v>
      </c>
      <c r="R2215" s="71" t="s">
        <v>71</v>
      </c>
      <c r="S2215" s="75" t="str">
        <f t="shared" si="34"/>
        <v>OR_DESCHUTES</v>
      </c>
    </row>
    <row r="2216" spans="17:19" x14ac:dyDescent="0.2">
      <c r="Q2216" s="31" t="s">
        <v>434</v>
      </c>
      <c r="R2216" s="72" t="s">
        <v>71</v>
      </c>
      <c r="S2216" s="75" t="str">
        <f t="shared" si="34"/>
        <v>OR_DOUGLAS</v>
      </c>
    </row>
    <row r="2217" spans="17:19" x14ac:dyDescent="0.2">
      <c r="Q2217" s="30" t="s">
        <v>1580</v>
      </c>
      <c r="R2217" s="71" t="s">
        <v>71</v>
      </c>
      <c r="S2217" s="75" t="str">
        <f t="shared" si="34"/>
        <v>OR_GILLIAM</v>
      </c>
    </row>
    <row r="2218" spans="17:19" x14ac:dyDescent="0.2">
      <c r="Q2218" s="31" t="s">
        <v>325</v>
      </c>
      <c r="R2218" s="72" t="s">
        <v>71</v>
      </c>
      <c r="S2218" s="75" t="str">
        <f t="shared" si="34"/>
        <v>OR_GRANT</v>
      </c>
    </row>
    <row r="2219" spans="17:19" x14ac:dyDescent="0.2">
      <c r="Q2219" s="30" t="s">
        <v>1581</v>
      </c>
      <c r="R2219" s="71" t="s">
        <v>71</v>
      </c>
      <c r="S2219" s="75" t="str">
        <f t="shared" si="34"/>
        <v>OR_HARNEY</v>
      </c>
    </row>
    <row r="2220" spans="17:19" x14ac:dyDescent="0.2">
      <c r="Q2220" s="31" t="s">
        <v>1582</v>
      </c>
      <c r="R2220" s="72" t="s">
        <v>71</v>
      </c>
      <c r="S2220" s="75" t="str">
        <f t="shared" si="34"/>
        <v>OR_HOOD RIVER</v>
      </c>
    </row>
    <row r="2221" spans="17:19" x14ac:dyDescent="0.2">
      <c r="Q2221" s="30" t="s">
        <v>232</v>
      </c>
      <c r="R2221" s="71" t="s">
        <v>71</v>
      </c>
      <c r="S2221" s="75" t="str">
        <f t="shared" si="34"/>
        <v>OR_JACKSON</v>
      </c>
    </row>
    <row r="2222" spans="17:19" x14ac:dyDescent="0.2">
      <c r="Q2222" s="31" t="s">
        <v>233</v>
      </c>
      <c r="R2222" s="72" t="s">
        <v>71</v>
      </c>
      <c r="S2222" s="75" t="str">
        <f t="shared" si="34"/>
        <v>OR_JEFFERSON</v>
      </c>
    </row>
    <row r="2223" spans="17:19" x14ac:dyDescent="0.2">
      <c r="Q2223" s="30" t="s">
        <v>1583</v>
      </c>
      <c r="R2223" s="71" t="s">
        <v>71</v>
      </c>
      <c r="S2223" s="75" t="str">
        <f t="shared" si="34"/>
        <v>OR_JOSEPHINE</v>
      </c>
    </row>
    <row r="2224" spans="17:19" x14ac:dyDescent="0.2">
      <c r="Q2224" s="31" t="s">
        <v>1584</v>
      </c>
      <c r="R2224" s="72" t="s">
        <v>71</v>
      </c>
      <c r="S2224" s="75" t="str">
        <f t="shared" si="34"/>
        <v>OR_KLAMATH</v>
      </c>
    </row>
    <row r="2225" spans="17:19" x14ac:dyDescent="0.2">
      <c r="Q2225" s="30" t="s">
        <v>377</v>
      </c>
      <c r="R2225" s="71" t="s">
        <v>71</v>
      </c>
      <c r="S2225" s="75" t="str">
        <f t="shared" si="34"/>
        <v>OR_LAKE</v>
      </c>
    </row>
    <row r="2226" spans="17:19" x14ac:dyDescent="0.2">
      <c r="Q2226" s="31" t="s">
        <v>848</v>
      </c>
      <c r="R2226" s="72" t="s">
        <v>71</v>
      </c>
      <c r="S2226" s="75" t="str">
        <f t="shared" si="34"/>
        <v>OR_LANE</v>
      </c>
    </row>
    <row r="2227" spans="17:19" x14ac:dyDescent="0.2">
      <c r="Q2227" s="30" t="s">
        <v>333</v>
      </c>
      <c r="R2227" s="71" t="s">
        <v>71</v>
      </c>
      <c r="S2227" s="75" t="str">
        <f t="shared" si="34"/>
        <v>OR_LINCOLN</v>
      </c>
    </row>
    <row r="2228" spans="17:19" x14ac:dyDescent="0.2">
      <c r="Q2228" s="31" t="s">
        <v>795</v>
      </c>
      <c r="R2228" s="72" t="s">
        <v>71</v>
      </c>
      <c r="S2228" s="75" t="str">
        <f t="shared" si="34"/>
        <v>OR_LINN</v>
      </c>
    </row>
    <row r="2229" spans="17:19" x14ac:dyDescent="0.2">
      <c r="Q2229" s="30" t="s">
        <v>1585</v>
      </c>
      <c r="R2229" s="71" t="s">
        <v>71</v>
      </c>
      <c r="S2229" s="75" t="str">
        <f t="shared" si="34"/>
        <v>OR_MALHEUR</v>
      </c>
    </row>
    <row r="2230" spans="17:19" x14ac:dyDescent="0.2">
      <c r="Q2230" s="31" t="s">
        <v>243</v>
      </c>
      <c r="R2230" s="72" t="s">
        <v>71</v>
      </c>
      <c r="S2230" s="75" t="str">
        <f t="shared" si="34"/>
        <v>OR_MARION</v>
      </c>
    </row>
    <row r="2231" spans="17:19" x14ac:dyDescent="0.2">
      <c r="Q2231" s="30" t="s">
        <v>1520</v>
      </c>
      <c r="R2231" s="71" t="s">
        <v>71</v>
      </c>
      <c r="S2231" s="75" t="str">
        <f t="shared" si="34"/>
        <v>OR_MORROW</v>
      </c>
    </row>
    <row r="2232" spans="17:19" x14ac:dyDescent="0.2">
      <c r="Q2232" s="31" t="s">
        <v>1586</v>
      </c>
      <c r="R2232" s="72" t="s">
        <v>71</v>
      </c>
      <c r="S2232" s="75" t="str">
        <f t="shared" si="34"/>
        <v>OR_MULTNOMAH</v>
      </c>
    </row>
    <row r="2233" spans="17:19" x14ac:dyDescent="0.2">
      <c r="Q2233" s="30" t="s">
        <v>344</v>
      </c>
      <c r="R2233" s="71" t="s">
        <v>71</v>
      </c>
      <c r="S2233" s="75" t="str">
        <f t="shared" si="34"/>
        <v>OR_POLK</v>
      </c>
    </row>
    <row r="2234" spans="17:19" x14ac:dyDescent="0.2">
      <c r="Q2234" s="31" t="s">
        <v>873</v>
      </c>
      <c r="R2234" s="72" t="s">
        <v>71</v>
      </c>
      <c r="S2234" s="75" t="str">
        <f t="shared" si="34"/>
        <v>OR_SHERMAN</v>
      </c>
    </row>
    <row r="2235" spans="17:19" x14ac:dyDescent="0.2">
      <c r="Q2235" s="30" t="s">
        <v>1587</v>
      </c>
      <c r="R2235" s="71" t="s">
        <v>71</v>
      </c>
      <c r="S2235" s="75" t="str">
        <f t="shared" si="34"/>
        <v>OR_TILLAMOOK</v>
      </c>
    </row>
    <row r="2236" spans="17:19" x14ac:dyDescent="0.2">
      <c r="Q2236" s="31" t="s">
        <v>1588</v>
      </c>
      <c r="R2236" s="72" t="s">
        <v>71</v>
      </c>
      <c r="S2236" s="75" t="str">
        <f t="shared" si="34"/>
        <v>OR_UMATILLA</v>
      </c>
    </row>
    <row r="2237" spans="17:19" x14ac:dyDescent="0.2">
      <c r="Q2237" s="30" t="s">
        <v>356</v>
      </c>
      <c r="R2237" s="71" t="s">
        <v>71</v>
      </c>
      <c r="S2237" s="75" t="str">
        <f t="shared" si="34"/>
        <v>OR_UNION</v>
      </c>
    </row>
    <row r="2238" spans="17:19" x14ac:dyDescent="0.2">
      <c r="Q2238" s="31" t="s">
        <v>1589</v>
      </c>
      <c r="R2238" s="72" t="s">
        <v>71</v>
      </c>
      <c r="S2238" s="75" t="str">
        <f t="shared" si="34"/>
        <v>OR_WALLOWA</v>
      </c>
    </row>
    <row r="2239" spans="17:19" x14ac:dyDescent="0.2">
      <c r="Q2239" s="30" t="s">
        <v>1590</v>
      </c>
      <c r="R2239" s="71" t="s">
        <v>71</v>
      </c>
      <c r="S2239" s="75" t="str">
        <f t="shared" si="34"/>
        <v>OR_WASCO</v>
      </c>
    </row>
    <row r="2240" spans="17:19" x14ac:dyDescent="0.2">
      <c r="Q2240" s="31" t="s">
        <v>261</v>
      </c>
      <c r="R2240" s="72" t="s">
        <v>71</v>
      </c>
      <c r="S2240" s="75" t="str">
        <f t="shared" si="34"/>
        <v>OR_WASHINGTON</v>
      </c>
    </row>
    <row r="2241" spans="17:19" x14ac:dyDescent="0.2">
      <c r="Q2241" s="30" t="s">
        <v>636</v>
      </c>
      <c r="R2241" s="71" t="s">
        <v>71</v>
      </c>
      <c r="S2241" s="75" t="str">
        <f t="shared" si="34"/>
        <v>OR_WHEELER</v>
      </c>
    </row>
    <row r="2242" spans="17:19" x14ac:dyDescent="0.2">
      <c r="Q2242" s="31" t="s">
        <v>1591</v>
      </c>
      <c r="R2242" s="72" t="s">
        <v>71</v>
      </c>
      <c r="S2242" s="75" t="str">
        <f t="shared" si="34"/>
        <v>OR_YAMHILL</v>
      </c>
    </row>
    <row r="2243" spans="17:19" x14ac:dyDescent="0.2">
      <c r="Q2243" s="30" t="s">
        <v>417</v>
      </c>
      <c r="R2243" s="71" t="s">
        <v>70</v>
      </c>
      <c r="S2243" s="75" t="str">
        <f t="shared" si="34"/>
        <v>PA_ADAMS</v>
      </c>
    </row>
    <row r="2244" spans="17:19" x14ac:dyDescent="0.2">
      <c r="Q2244" s="31" t="s">
        <v>1592</v>
      </c>
      <c r="R2244" s="72" t="s">
        <v>70</v>
      </c>
      <c r="S2244" s="75" t="str">
        <f t="shared" ref="S2244:S2307" si="35">UPPER(CONCATENATE(TRIM(R2244),"_",TRIM(Q2244)))</f>
        <v>PA_ALLEGHENY</v>
      </c>
    </row>
    <row r="2245" spans="17:19" x14ac:dyDescent="0.2">
      <c r="Q2245" s="30" t="s">
        <v>1593</v>
      </c>
      <c r="R2245" s="71" t="s">
        <v>70</v>
      </c>
      <c r="S2245" s="75" t="str">
        <f t="shared" si="35"/>
        <v>PA_ARMSTRONG</v>
      </c>
    </row>
    <row r="2246" spans="17:19" x14ac:dyDescent="0.2">
      <c r="Q2246" s="31" t="s">
        <v>1536</v>
      </c>
      <c r="R2246" s="72" t="s">
        <v>70</v>
      </c>
      <c r="S2246" s="75" t="str">
        <f t="shared" si="35"/>
        <v>PA_BEAVER</v>
      </c>
    </row>
    <row r="2247" spans="17:19" x14ac:dyDescent="0.2">
      <c r="Q2247" s="30" t="s">
        <v>1594</v>
      </c>
      <c r="R2247" s="71" t="s">
        <v>70</v>
      </c>
      <c r="S2247" s="75" t="str">
        <f t="shared" si="35"/>
        <v>PA_BEDFORD</v>
      </c>
    </row>
    <row r="2248" spans="17:19" x14ac:dyDescent="0.2">
      <c r="Q2248" s="31" t="s">
        <v>1595</v>
      </c>
      <c r="R2248" s="72" t="s">
        <v>70</v>
      </c>
      <c r="S2248" s="75" t="str">
        <f t="shared" si="35"/>
        <v>PA_BERKS</v>
      </c>
    </row>
    <row r="2249" spans="17:19" x14ac:dyDescent="0.2">
      <c r="Q2249" s="30" t="s">
        <v>1596</v>
      </c>
      <c r="R2249" s="71" t="s">
        <v>70</v>
      </c>
      <c r="S2249" s="75" t="str">
        <f t="shared" si="35"/>
        <v>PA_BLAIR</v>
      </c>
    </row>
    <row r="2250" spans="17:19" x14ac:dyDescent="0.2">
      <c r="Q2250" s="31" t="s">
        <v>487</v>
      </c>
      <c r="R2250" s="72" t="s">
        <v>70</v>
      </c>
      <c r="S2250" s="75" t="str">
        <f t="shared" si="35"/>
        <v>PA_BRADFORD</v>
      </c>
    </row>
    <row r="2251" spans="17:19" x14ac:dyDescent="0.2">
      <c r="Q2251" s="30" t="s">
        <v>1597</v>
      </c>
      <c r="R2251" s="71" t="s">
        <v>70</v>
      </c>
      <c r="S2251" s="75" t="str">
        <f t="shared" si="35"/>
        <v>PA_BUCKS</v>
      </c>
    </row>
    <row r="2252" spans="17:19" x14ac:dyDescent="0.2">
      <c r="Q2252" s="31" t="s">
        <v>203</v>
      </c>
      <c r="R2252" s="72" t="s">
        <v>70</v>
      </c>
      <c r="S2252" s="75" t="str">
        <f t="shared" si="35"/>
        <v>PA_BUTLER</v>
      </c>
    </row>
    <row r="2253" spans="17:19" x14ac:dyDescent="0.2">
      <c r="Q2253" s="30" t="s">
        <v>1598</v>
      </c>
      <c r="R2253" s="71" t="s">
        <v>70</v>
      </c>
      <c r="S2253" s="75" t="str">
        <f t="shared" si="35"/>
        <v>PA_CAMBRIA</v>
      </c>
    </row>
    <row r="2254" spans="17:19" x14ac:dyDescent="0.2">
      <c r="Q2254" s="31" t="s">
        <v>1599</v>
      </c>
      <c r="R2254" s="72" t="s">
        <v>70</v>
      </c>
      <c r="S2254" s="75" t="str">
        <f t="shared" si="35"/>
        <v>PA_CAMERON</v>
      </c>
    </row>
    <row r="2255" spans="17:19" x14ac:dyDescent="0.2">
      <c r="Q2255" s="30" t="s">
        <v>1246</v>
      </c>
      <c r="R2255" s="71" t="s">
        <v>70</v>
      </c>
      <c r="S2255" s="75" t="str">
        <f t="shared" si="35"/>
        <v>PA_CARBON</v>
      </c>
    </row>
    <row r="2256" spans="17:19" x14ac:dyDescent="0.2">
      <c r="Q2256" s="31" t="s">
        <v>1600</v>
      </c>
      <c r="R2256" s="72" t="s">
        <v>70</v>
      </c>
      <c r="S2256" s="75" t="str">
        <f t="shared" si="35"/>
        <v>PA_CENTRE</v>
      </c>
    </row>
    <row r="2257" spans="17:19" x14ac:dyDescent="0.2">
      <c r="Q2257" s="30" t="s">
        <v>1601</v>
      </c>
      <c r="R2257" s="71" t="s">
        <v>70</v>
      </c>
      <c r="S2257" s="75" t="str">
        <f t="shared" si="35"/>
        <v>PA_CHESTER</v>
      </c>
    </row>
    <row r="2258" spans="17:19" x14ac:dyDescent="0.2">
      <c r="Q2258" s="31" t="s">
        <v>1602</v>
      </c>
      <c r="R2258" s="72" t="s">
        <v>70</v>
      </c>
      <c r="S2258" s="75" t="str">
        <f t="shared" si="35"/>
        <v>PA_CLARION</v>
      </c>
    </row>
    <row r="2259" spans="17:19" x14ac:dyDescent="0.2">
      <c r="Q2259" s="30" t="s">
        <v>1603</v>
      </c>
      <c r="R2259" s="71" t="s">
        <v>70</v>
      </c>
      <c r="S2259" s="75" t="str">
        <f t="shared" si="35"/>
        <v>PA_CLEARFIELD</v>
      </c>
    </row>
    <row r="2260" spans="17:19" x14ac:dyDescent="0.2">
      <c r="Q2260" s="31" t="s">
        <v>686</v>
      </c>
      <c r="R2260" s="72" t="s">
        <v>70</v>
      </c>
      <c r="S2260" s="75" t="str">
        <f t="shared" si="35"/>
        <v>PA_CLINTON</v>
      </c>
    </row>
    <row r="2261" spans="17:19" x14ac:dyDescent="0.2">
      <c r="Q2261" s="30" t="s">
        <v>314</v>
      </c>
      <c r="R2261" s="71" t="s">
        <v>70</v>
      </c>
      <c r="S2261" s="75" t="str">
        <f t="shared" si="35"/>
        <v>PA_COLUMBIA</v>
      </c>
    </row>
    <row r="2262" spans="17:19" x14ac:dyDescent="0.2">
      <c r="Q2262" s="31" t="s">
        <v>317</v>
      </c>
      <c r="R2262" s="72" t="s">
        <v>70</v>
      </c>
      <c r="S2262" s="75" t="str">
        <f t="shared" si="35"/>
        <v>PA_CRAWFORD</v>
      </c>
    </row>
    <row r="2263" spans="17:19" x14ac:dyDescent="0.2">
      <c r="Q2263" s="30" t="s">
        <v>688</v>
      </c>
      <c r="R2263" s="71" t="s">
        <v>70</v>
      </c>
      <c r="S2263" s="75" t="str">
        <f t="shared" si="35"/>
        <v>PA_CUMBERLAND</v>
      </c>
    </row>
    <row r="2264" spans="17:19" x14ac:dyDescent="0.2">
      <c r="Q2264" s="31" t="s">
        <v>1604</v>
      </c>
      <c r="R2264" s="72" t="s">
        <v>70</v>
      </c>
      <c r="S2264" s="75" t="str">
        <f t="shared" si="35"/>
        <v>PA_DAUPHIN</v>
      </c>
    </row>
    <row r="2265" spans="17:19" x14ac:dyDescent="0.2">
      <c r="Q2265" s="30" t="s">
        <v>738</v>
      </c>
      <c r="R2265" s="71" t="s">
        <v>70</v>
      </c>
      <c r="S2265" s="75" t="str">
        <f t="shared" si="35"/>
        <v>PA_DELAWARE</v>
      </c>
    </row>
    <row r="2266" spans="17:19" x14ac:dyDescent="0.2">
      <c r="Q2266" s="31" t="s">
        <v>831</v>
      </c>
      <c r="R2266" s="72" t="s">
        <v>70</v>
      </c>
      <c r="S2266" s="75" t="str">
        <f t="shared" si="35"/>
        <v>PA_ELK</v>
      </c>
    </row>
    <row r="2267" spans="17:19" x14ac:dyDescent="0.2">
      <c r="Q2267" s="30" t="s">
        <v>1382</v>
      </c>
      <c r="R2267" s="71" t="s">
        <v>70</v>
      </c>
      <c r="S2267" s="75" t="str">
        <f t="shared" si="35"/>
        <v>PA_ERIE</v>
      </c>
    </row>
    <row r="2268" spans="17:19" x14ac:dyDescent="0.2">
      <c r="Q2268" s="31" t="s">
        <v>225</v>
      </c>
      <c r="R2268" s="72" t="s">
        <v>70</v>
      </c>
      <c r="S2268" s="75" t="str">
        <f t="shared" si="35"/>
        <v>PA_FAYETTE</v>
      </c>
    </row>
    <row r="2269" spans="17:19" x14ac:dyDescent="0.2">
      <c r="Q2269" s="30" t="s">
        <v>1605</v>
      </c>
      <c r="R2269" s="71" t="s">
        <v>70</v>
      </c>
      <c r="S2269" s="75" t="str">
        <f t="shared" si="35"/>
        <v>PA_FOREST</v>
      </c>
    </row>
    <row r="2270" spans="17:19" x14ac:dyDescent="0.2">
      <c r="Q2270" s="31" t="s">
        <v>226</v>
      </c>
      <c r="R2270" s="72" t="s">
        <v>70</v>
      </c>
      <c r="S2270" s="75" t="str">
        <f t="shared" si="35"/>
        <v>PA_FRANKLIN</v>
      </c>
    </row>
    <row r="2271" spans="17:19" x14ac:dyDescent="0.2">
      <c r="Q2271" s="30" t="s">
        <v>323</v>
      </c>
      <c r="R2271" s="71" t="s">
        <v>70</v>
      </c>
      <c r="S2271" s="75" t="str">
        <f t="shared" si="35"/>
        <v>PA_FULTON</v>
      </c>
    </row>
    <row r="2272" spans="17:19" x14ac:dyDescent="0.2">
      <c r="Q2272" s="31" t="s">
        <v>228</v>
      </c>
      <c r="R2272" s="72" t="s">
        <v>70</v>
      </c>
      <c r="S2272" s="75" t="str">
        <f t="shared" si="35"/>
        <v>PA_GREENE</v>
      </c>
    </row>
    <row r="2273" spans="17:19" x14ac:dyDescent="0.2">
      <c r="Q2273" s="30" t="s">
        <v>1606</v>
      </c>
      <c r="R2273" s="71" t="s">
        <v>70</v>
      </c>
      <c r="S2273" s="75" t="str">
        <f t="shared" si="35"/>
        <v>PA_HUNTINGDON</v>
      </c>
    </row>
    <row r="2274" spans="17:19" x14ac:dyDescent="0.2">
      <c r="Q2274" s="31" t="s">
        <v>1607</v>
      </c>
      <c r="R2274" s="72" t="s">
        <v>70</v>
      </c>
      <c r="S2274" s="75" t="str">
        <f t="shared" si="35"/>
        <v>PA_INDIANA</v>
      </c>
    </row>
    <row r="2275" spans="17:19" x14ac:dyDescent="0.2">
      <c r="Q2275" s="30" t="s">
        <v>233</v>
      </c>
      <c r="R2275" s="71" t="s">
        <v>70</v>
      </c>
      <c r="S2275" s="75" t="str">
        <f t="shared" si="35"/>
        <v>PA_JEFFERSON</v>
      </c>
    </row>
    <row r="2276" spans="17:19" x14ac:dyDescent="0.2">
      <c r="Q2276" s="31" t="s">
        <v>1608</v>
      </c>
      <c r="R2276" s="72" t="s">
        <v>70</v>
      </c>
      <c r="S2276" s="75" t="str">
        <f t="shared" si="35"/>
        <v>PA_JUNIATA</v>
      </c>
    </row>
    <row r="2277" spans="17:19" x14ac:dyDescent="0.2">
      <c r="Q2277" s="30" t="s">
        <v>1609</v>
      </c>
      <c r="R2277" s="71" t="s">
        <v>70</v>
      </c>
      <c r="S2277" s="75" t="str">
        <f t="shared" si="35"/>
        <v>PA_LACKAWANNA</v>
      </c>
    </row>
    <row r="2278" spans="17:19" x14ac:dyDescent="0.2">
      <c r="Q2278" s="31" t="s">
        <v>1305</v>
      </c>
      <c r="R2278" s="72" t="s">
        <v>70</v>
      </c>
      <c r="S2278" s="75" t="str">
        <f t="shared" si="35"/>
        <v>PA_LANCASTER</v>
      </c>
    </row>
    <row r="2279" spans="17:19" x14ac:dyDescent="0.2">
      <c r="Q2279" s="30" t="s">
        <v>236</v>
      </c>
      <c r="R2279" s="71" t="s">
        <v>70</v>
      </c>
      <c r="S2279" s="75" t="str">
        <f t="shared" si="35"/>
        <v>PA_LAWRENCE</v>
      </c>
    </row>
    <row r="2280" spans="17:19" x14ac:dyDescent="0.2">
      <c r="Q2280" s="31" t="s">
        <v>1610</v>
      </c>
      <c r="R2280" s="72" t="s">
        <v>70</v>
      </c>
      <c r="S2280" s="75" t="str">
        <f t="shared" si="35"/>
        <v>PA_LEBANON</v>
      </c>
    </row>
    <row r="2281" spans="17:19" x14ac:dyDescent="0.2">
      <c r="Q2281" s="30" t="s">
        <v>1611</v>
      </c>
      <c r="R2281" s="71" t="s">
        <v>70</v>
      </c>
      <c r="S2281" s="75" t="str">
        <f t="shared" si="35"/>
        <v>PA_LEHIGH</v>
      </c>
    </row>
    <row r="2282" spans="17:19" x14ac:dyDescent="0.2">
      <c r="Q2282" s="31" t="s">
        <v>1612</v>
      </c>
      <c r="R2282" s="72" t="s">
        <v>70</v>
      </c>
      <c r="S2282" s="75" t="str">
        <f t="shared" si="35"/>
        <v>PA_LUZERNE</v>
      </c>
    </row>
    <row r="2283" spans="17:19" x14ac:dyDescent="0.2">
      <c r="Q2283" s="30" t="s">
        <v>1613</v>
      </c>
      <c r="R2283" s="71" t="s">
        <v>70</v>
      </c>
      <c r="S2283" s="75" t="str">
        <f t="shared" si="35"/>
        <v>PA_LYCOMING</v>
      </c>
    </row>
    <row r="2284" spans="17:19" x14ac:dyDescent="0.2">
      <c r="Q2284" s="31" t="s">
        <v>1614</v>
      </c>
      <c r="R2284" s="72" t="s">
        <v>70</v>
      </c>
      <c r="S2284" s="75" t="str">
        <f t="shared" si="35"/>
        <v>PA_MC KEAN</v>
      </c>
    </row>
    <row r="2285" spans="17:19" x14ac:dyDescent="0.2">
      <c r="Q2285" s="30" t="s">
        <v>714</v>
      </c>
      <c r="R2285" s="71" t="s">
        <v>70</v>
      </c>
      <c r="S2285" s="75" t="str">
        <f t="shared" si="35"/>
        <v>PA_MERCER</v>
      </c>
    </row>
    <row r="2286" spans="17:19" x14ac:dyDescent="0.2">
      <c r="Q2286" s="31" t="s">
        <v>1615</v>
      </c>
      <c r="R2286" s="72" t="s">
        <v>70</v>
      </c>
      <c r="S2286" s="75" t="str">
        <f t="shared" si="35"/>
        <v>PA_MIFFLIN</v>
      </c>
    </row>
    <row r="2287" spans="17:19" x14ac:dyDescent="0.2">
      <c r="Q2287" s="30" t="s">
        <v>246</v>
      </c>
      <c r="R2287" s="71" t="s">
        <v>70</v>
      </c>
      <c r="S2287" s="75" t="str">
        <f t="shared" si="35"/>
        <v>PA_MONROE</v>
      </c>
    </row>
    <row r="2288" spans="17:19" x14ac:dyDescent="0.2">
      <c r="Q2288" s="31" t="s">
        <v>247</v>
      </c>
      <c r="R2288" s="72" t="s">
        <v>70</v>
      </c>
      <c r="S2288" s="75" t="str">
        <f t="shared" si="35"/>
        <v>PA_MONTGOMERY</v>
      </c>
    </row>
    <row r="2289" spans="17:19" x14ac:dyDescent="0.2">
      <c r="Q2289" s="30" t="s">
        <v>1616</v>
      </c>
      <c r="R2289" s="71" t="s">
        <v>70</v>
      </c>
      <c r="S2289" s="75" t="str">
        <f t="shared" si="35"/>
        <v>PA_MONTOUR</v>
      </c>
    </row>
    <row r="2290" spans="17:19" x14ac:dyDescent="0.2">
      <c r="Q2290" s="31" t="s">
        <v>1446</v>
      </c>
      <c r="R2290" s="72" t="s">
        <v>70</v>
      </c>
      <c r="S2290" s="75" t="str">
        <f t="shared" si="35"/>
        <v>PA_NORTHAMPTON</v>
      </c>
    </row>
    <row r="2291" spans="17:19" x14ac:dyDescent="0.2">
      <c r="Q2291" s="30" t="s">
        <v>1617</v>
      </c>
      <c r="R2291" s="71" t="s">
        <v>70</v>
      </c>
      <c r="S2291" s="75" t="str">
        <f t="shared" si="35"/>
        <v>PA_NORTHUMBERLAND</v>
      </c>
    </row>
    <row r="2292" spans="17:19" x14ac:dyDescent="0.2">
      <c r="Q2292" s="31" t="s">
        <v>249</v>
      </c>
      <c r="R2292" s="72" t="s">
        <v>70</v>
      </c>
      <c r="S2292" s="75" t="str">
        <f t="shared" si="35"/>
        <v>PA_PERRY</v>
      </c>
    </row>
    <row r="2293" spans="17:19" x14ac:dyDescent="0.2">
      <c r="Q2293" s="30" t="s">
        <v>1618</v>
      </c>
      <c r="R2293" s="71" t="s">
        <v>70</v>
      </c>
      <c r="S2293" s="75" t="str">
        <f t="shared" si="35"/>
        <v>PA_PHILADELPHIA</v>
      </c>
    </row>
    <row r="2294" spans="17:19" x14ac:dyDescent="0.2">
      <c r="Q2294" s="31" t="s">
        <v>251</v>
      </c>
      <c r="R2294" s="72" t="s">
        <v>70</v>
      </c>
      <c r="S2294" s="75" t="str">
        <f t="shared" si="35"/>
        <v>PA_PIKE</v>
      </c>
    </row>
    <row r="2295" spans="17:19" x14ac:dyDescent="0.2">
      <c r="Q2295" s="30" t="s">
        <v>1619</v>
      </c>
      <c r="R2295" s="71" t="s">
        <v>70</v>
      </c>
      <c r="S2295" s="75" t="str">
        <f t="shared" si="35"/>
        <v>PA_POTTER</v>
      </c>
    </row>
    <row r="2296" spans="17:19" x14ac:dyDescent="0.2">
      <c r="Q2296" s="31" t="s">
        <v>1620</v>
      </c>
      <c r="R2296" s="72" t="s">
        <v>70</v>
      </c>
      <c r="S2296" s="75" t="str">
        <f t="shared" si="35"/>
        <v>PA_SCHUYLKILL</v>
      </c>
    </row>
    <row r="2297" spans="17:19" x14ac:dyDescent="0.2">
      <c r="Q2297" s="30" t="s">
        <v>1621</v>
      </c>
      <c r="R2297" s="71" t="s">
        <v>70</v>
      </c>
      <c r="S2297" s="75" t="str">
        <f t="shared" si="35"/>
        <v>PA_SNYDER</v>
      </c>
    </row>
    <row r="2298" spans="17:19" x14ac:dyDescent="0.2">
      <c r="Q2298" s="31" t="s">
        <v>1012</v>
      </c>
      <c r="R2298" s="72" t="s">
        <v>70</v>
      </c>
      <c r="S2298" s="75" t="str">
        <f t="shared" si="35"/>
        <v>PA_SOMERSET</v>
      </c>
    </row>
    <row r="2299" spans="17:19" x14ac:dyDescent="0.2">
      <c r="Q2299" s="30" t="s">
        <v>764</v>
      </c>
      <c r="R2299" s="71" t="s">
        <v>70</v>
      </c>
      <c r="S2299" s="75" t="str">
        <f t="shared" si="35"/>
        <v>PA_SULLIVAN</v>
      </c>
    </row>
    <row r="2300" spans="17:19" x14ac:dyDescent="0.2">
      <c r="Q2300" s="31" t="s">
        <v>1622</v>
      </c>
      <c r="R2300" s="72" t="s">
        <v>70</v>
      </c>
      <c r="S2300" s="75" t="str">
        <f t="shared" si="35"/>
        <v>PA_SUSQUEHANNA</v>
      </c>
    </row>
    <row r="2301" spans="17:19" x14ac:dyDescent="0.2">
      <c r="Q2301" s="30" t="s">
        <v>1398</v>
      </c>
      <c r="R2301" s="71" t="s">
        <v>70</v>
      </c>
      <c r="S2301" s="75" t="str">
        <f t="shared" si="35"/>
        <v>PA_TIOGA</v>
      </c>
    </row>
    <row r="2302" spans="17:19" x14ac:dyDescent="0.2">
      <c r="Q2302" s="31" t="s">
        <v>356</v>
      </c>
      <c r="R2302" s="72" t="s">
        <v>70</v>
      </c>
      <c r="S2302" s="75" t="str">
        <f t="shared" si="35"/>
        <v>PA_UNION</v>
      </c>
    </row>
    <row r="2303" spans="17:19" x14ac:dyDescent="0.2">
      <c r="Q2303" s="30" t="s">
        <v>1623</v>
      </c>
      <c r="R2303" s="71" t="s">
        <v>70</v>
      </c>
      <c r="S2303" s="75" t="str">
        <f t="shared" si="35"/>
        <v>PA_VENANGO</v>
      </c>
    </row>
    <row r="2304" spans="17:19" x14ac:dyDescent="0.2">
      <c r="Q2304" s="31" t="s">
        <v>633</v>
      </c>
      <c r="R2304" s="72" t="s">
        <v>70</v>
      </c>
      <c r="S2304" s="75" t="str">
        <f t="shared" si="35"/>
        <v>PA_WARREN</v>
      </c>
    </row>
    <row r="2305" spans="17:19" x14ac:dyDescent="0.2">
      <c r="Q2305" s="30" t="s">
        <v>261</v>
      </c>
      <c r="R2305" s="71" t="s">
        <v>70</v>
      </c>
      <c r="S2305" s="75" t="str">
        <f t="shared" si="35"/>
        <v>PA_WASHINGTON</v>
      </c>
    </row>
    <row r="2306" spans="17:19" x14ac:dyDescent="0.2">
      <c r="Q2306" s="31" t="s">
        <v>634</v>
      </c>
      <c r="R2306" s="72" t="s">
        <v>70</v>
      </c>
      <c r="S2306" s="75" t="str">
        <f t="shared" si="35"/>
        <v>PA_WAYNE</v>
      </c>
    </row>
    <row r="2307" spans="17:19" x14ac:dyDescent="0.2">
      <c r="Q2307" s="30" t="s">
        <v>1624</v>
      </c>
      <c r="R2307" s="71" t="s">
        <v>70</v>
      </c>
      <c r="S2307" s="75" t="str">
        <f t="shared" si="35"/>
        <v>PA_WESTMORELAND</v>
      </c>
    </row>
    <row r="2308" spans="17:19" x14ac:dyDescent="0.2">
      <c r="Q2308" s="31" t="s">
        <v>1402</v>
      </c>
      <c r="R2308" s="72" t="s">
        <v>70</v>
      </c>
      <c r="S2308" s="75" t="str">
        <f t="shared" ref="S2308:S2371" si="36">UPPER(CONCATENATE(TRIM(R2308),"_",TRIM(Q2308)))</f>
        <v>PA_WYOMING</v>
      </c>
    </row>
    <row r="2309" spans="17:19" x14ac:dyDescent="0.2">
      <c r="Q2309" s="30" t="s">
        <v>1014</v>
      </c>
      <c r="R2309" s="71" t="s">
        <v>70</v>
      </c>
      <c r="S2309" s="75" t="str">
        <f t="shared" si="36"/>
        <v>PA_YORK</v>
      </c>
    </row>
    <row r="2310" spans="17:19" x14ac:dyDescent="0.2">
      <c r="Q2310" s="31" t="s">
        <v>1034</v>
      </c>
      <c r="R2310" s="72" t="s">
        <v>68</v>
      </c>
      <c r="S2310" s="75" t="str">
        <f t="shared" si="36"/>
        <v>RI_BRISTOL</v>
      </c>
    </row>
    <row r="2311" spans="17:19" x14ac:dyDescent="0.2">
      <c r="Q2311" s="30" t="s">
        <v>479</v>
      </c>
      <c r="R2311" s="71" t="s">
        <v>68</v>
      </c>
      <c r="S2311" s="75" t="str">
        <f t="shared" si="36"/>
        <v>RI_KENT</v>
      </c>
    </row>
    <row r="2312" spans="17:19" x14ac:dyDescent="0.2">
      <c r="Q2312" s="31" t="s">
        <v>1625</v>
      </c>
      <c r="R2312" s="72" t="s">
        <v>68</v>
      </c>
      <c r="S2312" s="75" t="str">
        <f t="shared" si="36"/>
        <v>RI_NEWPORT</v>
      </c>
    </row>
    <row r="2313" spans="17:19" x14ac:dyDescent="0.2">
      <c r="Q2313" s="30" t="s">
        <v>1626</v>
      </c>
      <c r="R2313" s="71" t="s">
        <v>68</v>
      </c>
      <c r="S2313" s="75" t="str">
        <f t="shared" si="36"/>
        <v>RI_PROVIDENCE</v>
      </c>
    </row>
    <row r="2314" spans="17:19" x14ac:dyDescent="0.2">
      <c r="Q2314" s="31" t="s">
        <v>261</v>
      </c>
      <c r="R2314" s="72" t="s">
        <v>68</v>
      </c>
      <c r="S2314" s="75" t="str">
        <f t="shared" si="36"/>
        <v>RI_WASHINGTON</v>
      </c>
    </row>
    <row r="2315" spans="17:19" x14ac:dyDescent="0.2">
      <c r="Q2315" s="30" t="s">
        <v>1627</v>
      </c>
      <c r="R2315" s="71" t="s">
        <v>67</v>
      </c>
      <c r="S2315" s="75" t="str">
        <f t="shared" si="36"/>
        <v>SC_ABBEVILLE</v>
      </c>
    </row>
    <row r="2316" spans="17:19" x14ac:dyDescent="0.2">
      <c r="Q2316" s="31" t="s">
        <v>1628</v>
      </c>
      <c r="R2316" s="72" t="s">
        <v>67</v>
      </c>
      <c r="S2316" s="75" t="str">
        <f t="shared" si="36"/>
        <v>SC_AIKEN</v>
      </c>
    </row>
    <row r="2317" spans="17:19" x14ac:dyDescent="0.2">
      <c r="Q2317" s="30" t="s">
        <v>1629</v>
      </c>
      <c r="R2317" s="71" t="s">
        <v>67</v>
      </c>
      <c r="S2317" s="75" t="str">
        <f t="shared" si="36"/>
        <v>SC_ALLENDALE</v>
      </c>
    </row>
    <row r="2318" spans="17:19" x14ac:dyDescent="0.2">
      <c r="Q2318" s="31" t="s">
        <v>819</v>
      </c>
      <c r="R2318" s="72" t="s">
        <v>67</v>
      </c>
      <c r="S2318" s="75" t="str">
        <f t="shared" si="36"/>
        <v>SC_ANDERSON</v>
      </c>
    </row>
    <row r="2319" spans="17:19" x14ac:dyDescent="0.2">
      <c r="Q2319" s="30" t="s">
        <v>1630</v>
      </c>
      <c r="R2319" s="71" t="s">
        <v>67</v>
      </c>
      <c r="S2319" s="75" t="str">
        <f t="shared" si="36"/>
        <v>SC_BAMBERG</v>
      </c>
    </row>
    <row r="2320" spans="17:19" x14ac:dyDescent="0.2">
      <c r="Q2320" s="31" t="s">
        <v>1631</v>
      </c>
      <c r="R2320" s="72" t="s">
        <v>67</v>
      </c>
      <c r="S2320" s="75" t="str">
        <f t="shared" si="36"/>
        <v>SC_BARNWELL</v>
      </c>
    </row>
    <row r="2321" spans="17:19" x14ac:dyDescent="0.2">
      <c r="Q2321" s="30" t="s">
        <v>1409</v>
      </c>
      <c r="R2321" s="71" t="s">
        <v>67</v>
      </c>
      <c r="S2321" s="75" t="str">
        <f t="shared" si="36"/>
        <v>SC_BEAUFORT</v>
      </c>
    </row>
    <row r="2322" spans="17:19" x14ac:dyDescent="0.2">
      <c r="Q2322" s="31" t="s">
        <v>1632</v>
      </c>
      <c r="R2322" s="72" t="s">
        <v>67</v>
      </c>
      <c r="S2322" s="75" t="str">
        <f t="shared" si="36"/>
        <v>SC_BERKELEY</v>
      </c>
    </row>
    <row r="2323" spans="17:19" x14ac:dyDescent="0.2">
      <c r="Q2323" s="30" t="s">
        <v>204</v>
      </c>
      <c r="R2323" s="71" t="s">
        <v>67</v>
      </c>
      <c r="S2323" s="75" t="str">
        <f t="shared" si="36"/>
        <v>SC_CALHOUN</v>
      </c>
    </row>
    <row r="2324" spans="17:19" x14ac:dyDescent="0.2">
      <c r="Q2324" s="31" t="s">
        <v>1633</v>
      </c>
      <c r="R2324" s="72" t="s">
        <v>67</v>
      </c>
      <c r="S2324" s="75" t="str">
        <f t="shared" si="36"/>
        <v>SC_CHARLESTON</v>
      </c>
    </row>
    <row r="2325" spans="17:19" x14ac:dyDescent="0.2">
      <c r="Q2325" s="30" t="s">
        <v>206</v>
      </c>
      <c r="R2325" s="71" t="s">
        <v>67</v>
      </c>
      <c r="S2325" s="75" t="str">
        <f t="shared" si="36"/>
        <v>SC_CHEROKEE</v>
      </c>
    </row>
    <row r="2326" spans="17:19" x14ac:dyDescent="0.2">
      <c r="Q2326" s="31" t="s">
        <v>1601</v>
      </c>
      <c r="R2326" s="72" t="s">
        <v>67</v>
      </c>
      <c r="S2326" s="75" t="str">
        <f t="shared" si="36"/>
        <v>SC_CHESTER</v>
      </c>
    </row>
    <row r="2327" spans="17:19" x14ac:dyDescent="0.2">
      <c r="Q2327" s="30" t="s">
        <v>1634</v>
      </c>
      <c r="R2327" s="71" t="s">
        <v>67</v>
      </c>
      <c r="S2327" s="75" t="str">
        <f t="shared" si="36"/>
        <v>SC_CHESTERFIELD</v>
      </c>
    </row>
    <row r="2328" spans="17:19" x14ac:dyDescent="0.2">
      <c r="Q2328" s="31" t="s">
        <v>1635</v>
      </c>
      <c r="R2328" s="72" t="s">
        <v>67</v>
      </c>
      <c r="S2328" s="75" t="str">
        <f t="shared" si="36"/>
        <v>SC_CLARENDON</v>
      </c>
    </row>
    <row r="2329" spans="17:19" x14ac:dyDescent="0.2">
      <c r="Q2329" s="30" t="s">
        <v>1636</v>
      </c>
      <c r="R2329" s="71" t="s">
        <v>67</v>
      </c>
      <c r="S2329" s="75" t="str">
        <f t="shared" si="36"/>
        <v>SC_COLLETON</v>
      </c>
    </row>
    <row r="2330" spans="17:19" x14ac:dyDescent="0.2">
      <c r="Q2330" s="31" t="s">
        <v>1637</v>
      </c>
      <c r="R2330" s="72" t="s">
        <v>67</v>
      </c>
      <c r="S2330" s="75" t="str">
        <f t="shared" si="36"/>
        <v>SC_DARLINGTON</v>
      </c>
    </row>
    <row r="2331" spans="17:19" x14ac:dyDescent="0.2">
      <c r="Q2331" s="30" t="s">
        <v>1638</v>
      </c>
      <c r="R2331" s="71" t="s">
        <v>67</v>
      </c>
      <c r="S2331" s="75" t="str">
        <f t="shared" si="36"/>
        <v>SC_DILLON</v>
      </c>
    </row>
    <row r="2332" spans="17:19" x14ac:dyDescent="0.2">
      <c r="Q2332" s="31" t="s">
        <v>1022</v>
      </c>
      <c r="R2332" s="72" t="s">
        <v>67</v>
      </c>
      <c r="S2332" s="75" t="str">
        <f t="shared" si="36"/>
        <v>SC_DORCHESTER</v>
      </c>
    </row>
    <row r="2333" spans="17:19" x14ac:dyDescent="0.2">
      <c r="Q2333" s="30" t="s">
        <v>1639</v>
      </c>
      <c r="R2333" s="71" t="s">
        <v>67</v>
      </c>
      <c r="S2333" s="75" t="str">
        <f t="shared" si="36"/>
        <v>SC_EDGEFIELD</v>
      </c>
    </row>
    <row r="2334" spans="17:19" x14ac:dyDescent="0.2">
      <c r="Q2334" s="31" t="s">
        <v>471</v>
      </c>
      <c r="R2334" s="72" t="s">
        <v>67</v>
      </c>
      <c r="S2334" s="75" t="str">
        <f t="shared" si="36"/>
        <v>SC_FAIRFIELD</v>
      </c>
    </row>
    <row r="2335" spans="17:19" x14ac:dyDescent="0.2">
      <c r="Q2335" s="30" t="s">
        <v>1640</v>
      </c>
      <c r="R2335" s="71" t="s">
        <v>67</v>
      </c>
      <c r="S2335" s="75" t="str">
        <f t="shared" si="36"/>
        <v>SC_FLORENCE</v>
      </c>
    </row>
    <row r="2336" spans="17:19" x14ac:dyDescent="0.2">
      <c r="Q2336" s="31" t="s">
        <v>1641</v>
      </c>
      <c r="R2336" s="72" t="s">
        <v>67</v>
      </c>
      <c r="S2336" s="75" t="str">
        <f t="shared" si="36"/>
        <v>SC_GEORGETOWN</v>
      </c>
    </row>
    <row r="2337" spans="17:19" x14ac:dyDescent="0.2">
      <c r="Q2337" s="30" t="s">
        <v>1642</v>
      </c>
      <c r="R2337" s="71" t="s">
        <v>67</v>
      </c>
      <c r="S2337" s="75" t="str">
        <f t="shared" si="36"/>
        <v>SC_GREENVILLE</v>
      </c>
    </row>
    <row r="2338" spans="17:19" x14ac:dyDescent="0.2">
      <c r="Q2338" s="31" t="s">
        <v>839</v>
      </c>
      <c r="R2338" s="72" t="s">
        <v>67</v>
      </c>
      <c r="S2338" s="75" t="str">
        <f t="shared" si="36"/>
        <v>SC_GREENWOOD</v>
      </c>
    </row>
    <row r="2339" spans="17:19" x14ac:dyDescent="0.2">
      <c r="Q2339" s="30" t="s">
        <v>1643</v>
      </c>
      <c r="R2339" s="71" t="s">
        <v>67</v>
      </c>
      <c r="S2339" s="75" t="str">
        <f t="shared" si="36"/>
        <v>SC_HAMPTON</v>
      </c>
    </row>
    <row r="2340" spans="17:19" x14ac:dyDescent="0.2">
      <c r="Q2340" s="31" t="s">
        <v>1644</v>
      </c>
      <c r="R2340" s="72" t="s">
        <v>67</v>
      </c>
      <c r="S2340" s="75" t="str">
        <f t="shared" si="36"/>
        <v>SC_HORRY</v>
      </c>
    </row>
    <row r="2341" spans="17:19" x14ac:dyDescent="0.2">
      <c r="Q2341" s="30" t="s">
        <v>590</v>
      </c>
      <c r="R2341" s="71" t="s">
        <v>67</v>
      </c>
      <c r="S2341" s="75" t="str">
        <f t="shared" si="36"/>
        <v>SC_JASPER</v>
      </c>
    </row>
    <row r="2342" spans="17:19" x14ac:dyDescent="0.2">
      <c r="Q2342" s="31" t="s">
        <v>1645</v>
      </c>
      <c r="R2342" s="72" t="s">
        <v>67</v>
      </c>
      <c r="S2342" s="75" t="str">
        <f t="shared" si="36"/>
        <v>SC_KERSHAW</v>
      </c>
    </row>
    <row r="2343" spans="17:19" x14ac:dyDescent="0.2">
      <c r="Q2343" s="30" t="s">
        <v>1305</v>
      </c>
      <c r="R2343" s="71" t="s">
        <v>67</v>
      </c>
      <c r="S2343" s="75" t="str">
        <f t="shared" si="36"/>
        <v>SC_LANCASTER</v>
      </c>
    </row>
    <row r="2344" spans="17:19" x14ac:dyDescent="0.2">
      <c r="Q2344" s="31" t="s">
        <v>595</v>
      </c>
      <c r="R2344" s="72" t="s">
        <v>67</v>
      </c>
      <c r="S2344" s="75" t="str">
        <f t="shared" si="36"/>
        <v>SC_LAURENS</v>
      </c>
    </row>
    <row r="2345" spans="17:19" x14ac:dyDescent="0.2">
      <c r="Q2345" s="30" t="s">
        <v>237</v>
      </c>
      <c r="R2345" s="71" t="s">
        <v>67</v>
      </c>
      <c r="S2345" s="75" t="str">
        <f t="shared" si="36"/>
        <v>SC_LEE</v>
      </c>
    </row>
    <row r="2346" spans="17:19" x14ac:dyDescent="0.2">
      <c r="Q2346" s="31" t="s">
        <v>1646</v>
      </c>
      <c r="R2346" s="72" t="s">
        <v>67</v>
      </c>
      <c r="S2346" s="75" t="str">
        <f t="shared" si="36"/>
        <v>SC_LEXINGTON</v>
      </c>
    </row>
    <row r="2347" spans="17:19" x14ac:dyDescent="0.2">
      <c r="Q2347" s="30" t="s">
        <v>1647</v>
      </c>
      <c r="R2347" s="71" t="s">
        <v>67</v>
      </c>
      <c r="S2347" s="75" t="str">
        <f t="shared" si="36"/>
        <v>SC_MCCORMICK</v>
      </c>
    </row>
    <row r="2348" spans="17:19" x14ac:dyDescent="0.2">
      <c r="Q2348" s="31" t="s">
        <v>243</v>
      </c>
      <c r="R2348" s="72" t="s">
        <v>67</v>
      </c>
      <c r="S2348" s="75" t="str">
        <f t="shared" si="36"/>
        <v>SC_MARION</v>
      </c>
    </row>
    <row r="2349" spans="17:19" x14ac:dyDescent="0.2">
      <c r="Q2349" s="30" t="s">
        <v>1648</v>
      </c>
      <c r="R2349" s="71" t="s">
        <v>67</v>
      </c>
      <c r="S2349" s="75" t="str">
        <f t="shared" si="36"/>
        <v>SC_MARLBORO</v>
      </c>
    </row>
    <row r="2350" spans="17:19" x14ac:dyDescent="0.2">
      <c r="Q2350" s="31" t="s">
        <v>1649</v>
      </c>
      <c r="R2350" s="72" t="s">
        <v>67</v>
      </c>
      <c r="S2350" s="75" t="str">
        <f t="shared" si="36"/>
        <v>SC_NEWBERRY</v>
      </c>
    </row>
    <row r="2351" spans="17:19" x14ac:dyDescent="0.2">
      <c r="Q2351" s="30" t="s">
        <v>604</v>
      </c>
      <c r="R2351" s="71" t="s">
        <v>67</v>
      </c>
      <c r="S2351" s="75" t="str">
        <f t="shared" si="36"/>
        <v>SC_OCONEE</v>
      </c>
    </row>
    <row r="2352" spans="17:19" x14ac:dyDescent="0.2">
      <c r="Q2352" s="31" t="s">
        <v>1650</v>
      </c>
      <c r="R2352" s="72" t="s">
        <v>67</v>
      </c>
      <c r="S2352" s="75" t="str">
        <f t="shared" si="36"/>
        <v>SC_ORANGEBURG</v>
      </c>
    </row>
    <row r="2353" spans="17:19" x14ac:dyDescent="0.2">
      <c r="Q2353" s="30" t="s">
        <v>250</v>
      </c>
      <c r="R2353" s="71" t="s">
        <v>67</v>
      </c>
      <c r="S2353" s="75" t="str">
        <f t="shared" si="36"/>
        <v>SC_PICKENS</v>
      </c>
    </row>
    <row r="2354" spans="17:19" x14ac:dyDescent="0.2">
      <c r="Q2354" s="31" t="s">
        <v>719</v>
      </c>
      <c r="R2354" s="72" t="s">
        <v>67</v>
      </c>
      <c r="S2354" s="75" t="str">
        <f t="shared" si="36"/>
        <v>SC_RICHLAND</v>
      </c>
    </row>
    <row r="2355" spans="17:19" x14ac:dyDescent="0.2">
      <c r="Q2355" s="30" t="s">
        <v>1651</v>
      </c>
      <c r="R2355" s="71" t="s">
        <v>67</v>
      </c>
      <c r="S2355" s="75" t="str">
        <f t="shared" si="36"/>
        <v>SC_SALUDA</v>
      </c>
    </row>
    <row r="2356" spans="17:19" x14ac:dyDescent="0.2">
      <c r="Q2356" s="31" t="s">
        <v>1652</v>
      </c>
      <c r="R2356" s="72" t="s">
        <v>67</v>
      </c>
      <c r="S2356" s="75" t="str">
        <f t="shared" si="36"/>
        <v>SC_SPARTANBURG</v>
      </c>
    </row>
    <row r="2357" spans="17:19" x14ac:dyDescent="0.2">
      <c r="Q2357" s="30" t="s">
        <v>256</v>
      </c>
      <c r="R2357" s="71" t="s">
        <v>67</v>
      </c>
      <c r="S2357" s="75" t="str">
        <f t="shared" si="36"/>
        <v>SC_SUMTER</v>
      </c>
    </row>
    <row r="2358" spans="17:19" x14ac:dyDescent="0.2">
      <c r="Q2358" s="31" t="s">
        <v>356</v>
      </c>
      <c r="R2358" s="72" t="s">
        <v>67</v>
      </c>
      <c r="S2358" s="75" t="str">
        <f t="shared" si="36"/>
        <v>SC_UNION</v>
      </c>
    </row>
    <row r="2359" spans="17:19" x14ac:dyDescent="0.2">
      <c r="Q2359" s="30" t="s">
        <v>1653</v>
      </c>
      <c r="R2359" s="71" t="s">
        <v>67</v>
      </c>
      <c r="S2359" s="75" t="str">
        <f t="shared" si="36"/>
        <v>SC_WILLIAMSBURG</v>
      </c>
    </row>
    <row r="2360" spans="17:19" x14ac:dyDescent="0.2">
      <c r="Q2360" s="31" t="s">
        <v>1014</v>
      </c>
      <c r="R2360" s="72" t="s">
        <v>67</v>
      </c>
      <c r="S2360" s="75" t="str">
        <f t="shared" si="36"/>
        <v>SC_YORK</v>
      </c>
    </row>
    <row r="2361" spans="17:19" x14ac:dyDescent="0.2">
      <c r="Q2361" s="30" t="s">
        <v>1654</v>
      </c>
      <c r="R2361" s="71" t="s">
        <v>66</v>
      </c>
      <c r="S2361" s="75" t="str">
        <f t="shared" si="36"/>
        <v>SD_AURORA</v>
      </c>
    </row>
    <row r="2362" spans="17:19" x14ac:dyDescent="0.2">
      <c r="Q2362" s="31" t="s">
        <v>1655</v>
      </c>
      <c r="R2362" s="72" t="s">
        <v>66</v>
      </c>
      <c r="S2362" s="75" t="str">
        <f t="shared" si="36"/>
        <v>SD_BEADLE</v>
      </c>
    </row>
    <row r="2363" spans="17:19" x14ac:dyDescent="0.2">
      <c r="Q2363" s="30" t="s">
        <v>1656</v>
      </c>
      <c r="R2363" s="71" t="s">
        <v>66</v>
      </c>
      <c r="S2363" s="75" t="str">
        <f t="shared" si="36"/>
        <v>SD_BENNETT</v>
      </c>
    </row>
    <row r="2364" spans="17:19" x14ac:dyDescent="0.2">
      <c r="Q2364" s="31" t="s">
        <v>1657</v>
      </c>
      <c r="R2364" s="72" t="s">
        <v>66</v>
      </c>
      <c r="S2364" s="75" t="str">
        <f t="shared" si="36"/>
        <v>SD_BON HOMME</v>
      </c>
    </row>
    <row r="2365" spans="17:19" x14ac:dyDescent="0.2">
      <c r="Q2365" s="30" t="s">
        <v>1658</v>
      </c>
      <c r="R2365" s="71" t="s">
        <v>66</v>
      </c>
      <c r="S2365" s="75" t="str">
        <f t="shared" si="36"/>
        <v>SD_BROOKINGS</v>
      </c>
    </row>
    <row r="2366" spans="17:19" x14ac:dyDescent="0.2">
      <c r="Q2366" s="31" t="s">
        <v>681</v>
      </c>
      <c r="R2366" s="72" t="s">
        <v>66</v>
      </c>
      <c r="S2366" s="75" t="str">
        <f t="shared" si="36"/>
        <v>SD_BROWN</v>
      </c>
    </row>
    <row r="2367" spans="17:19" x14ac:dyDescent="0.2">
      <c r="Q2367" s="30" t="s">
        <v>1659</v>
      </c>
      <c r="R2367" s="71" t="s">
        <v>66</v>
      </c>
      <c r="S2367" s="75" t="str">
        <f t="shared" si="36"/>
        <v>SD_BRULE</v>
      </c>
    </row>
    <row r="2368" spans="17:19" x14ac:dyDescent="0.2">
      <c r="Q2368" s="31" t="s">
        <v>1284</v>
      </c>
      <c r="R2368" s="72" t="s">
        <v>66</v>
      </c>
      <c r="S2368" s="75" t="str">
        <f t="shared" si="36"/>
        <v>SD_BUFFALO</v>
      </c>
    </row>
    <row r="2369" spans="17:19" x14ac:dyDescent="0.2">
      <c r="Q2369" s="30" t="s">
        <v>364</v>
      </c>
      <c r="R2369" s="71" t="s">
        <v>66</v>
      </c>
      <c r="S2369" s="75" t="str">
        <f t="shared" si="36"/>
        <v>SD_BUTTE</v>
      </c>
    </row>
    <row r="2370" spans="17:19" x14ac:dyDescent="0.2">
      <c r="Q2370" s="31" t="s">
        <v>898</v>
      </c>
      <c r="R2370" s="72" t="s">
        <v>66</v>
      </c>
      <c r="S2370" s="75" t="str">
        <f t="shared" si="36"/>
        <v>SD_CAMPBELL</v>
      </c>
    </row>
    <row r="2371" spans="17:19" x14ac:dyDescent="0.2">
      <c r="Q2371" s="30" t="s">
        <v>1660</v>
      </c>
      <c r="R2371" s="71" t="s">
        <v>66</v>
      </c>
      <c r="S2371" s="75" t="str">
        <f t="shared" si="36"/>
        <v>SD_CHARLES MIX</v>
      </c>
    </row>
    <row r="2372" spans="17:19" x14ac:dyDescent="0.2">
      <c r="Q2372" s="31" t="s">
        <v>312</v>
      </c>
      <c r="R2372" s="72" t="s">
        <v>66</v>
      </c>
      <c r="S2372" s="75" t="str">
        <f t="shared" ref="S2372:S2435" si="37">UPPER(CONCATENATE(TRIM(R2372),"_",TRIM(Q2372)))</f>
        <v>SD_CLARK</v>
      </c>
    </row>
    <row r="2373" spans="17:19" x14ac:dyDescent="0.2">
      <c r="Q2373" s="30" t="s">
        <v>210</v>
      </c>
      <c r="R2373" s="71" t="s">
        <v>66</v>
      </c>
      <c r="S2373" s="75" t="str">
        <f t="shared" si="37"/>
        <v>SD_CLAY</v>
      </c>
    </row>
    <row r="2374" spans="17:19" x14ac:dyDescent="0.2">
      <c r="Q2374" s="31" t="s">
        <v>1661</v>
      </c>
      <c r="R2374" s="72" t="s">
        <v>66</v>
      </c>
      <c r="S2374" s="75" t="str">
        <f t="shared" si="37"/>
        <v>SD_CODINGTON</v>
      </c>
    </row>
    <row r="2375" spans="17:19" x14ac:dyDescent="0.2">
      <c r="Q2375" s="30" t="s">
        <v>1662</v>
      </c>
      <c r="R2375" s="71" t="s">
        <v>66</v>
      </c>
      <c r="S2375" s="75" t="str">
        <f t="shared" si="37"/>
        <v>SD_CORSON</v>
      </c>
    </row>
    <row r="2376" spans="17:19" x14ac:dyDescent="0.2">
      <c r="Q2376" s="31" t="s">
        <v>430</v>
      </c>
      <c r="R2376" s="72" t="s">
        <v>66</v>
      </c>
      <c r="S2376" s="75" t="str">
        <f t="shared" si="37"/>
        <v>SD_CUSTER</v>
      </c>
    </row>
    <row r="2377" spans="17:19" x14ac:dyDescent="0.2">
      <c r="Q2377" s="30" t="s">
        <v>1663</v>
      </c>
      <c r="R2377" s="71" t="s">
        <v>66</v>
      </c>
      <c r="S2377" s="75" t="str">
        <f t="shared" si="37"/>
        <v>SD_DAVISON</v>
      </c>
    </row>
    <row r="2378" spans="17:19" x14ac:dyDescent="0.2">
      <c r="Q2378" s="31" t="s">
        <v>1664</v>
      </c>
      <c r="R2378" s="72" t="s">
        <v>66</v>
      </c>
      <c r="S2378" s="75" t="str">
        <f t="shared" si="37"/>
        <v>SD_DAY</v>
      </c>
    </row>
    <row r="2379" spans="17:19" x14ac:dyDescent="0.2">
      <c r="Q2379" s="30" t="s">
        <v>1290</v>
      </c>
      <c r="R2379" s="71" t="s">
        <v>66</v>
      </c>
      <c r="S2379" s="75" t="str">
        <f t="shared" si="37"/>
        <v>SD_DEUEL</v>
      </c>
    </row>
    <row r="2380" spans="17:19" x14ac:dyDescent="0.2">
      <c r="Q2380" s="31" t="s">
        <v>1545</v>
      </c>
      <c r="R2380" s="72" t="s">
        <v>66</v>
      </c>
      <c r="S2380" s="75" t="str">
        <f t="shared" si="37"/>
        <v>SD_DEWEY</v>
      </c>
    </row>
    <row r="2381" spans="17:19" x14ac:dyDescent="0.2">
      <c r="Q2381" s="30" t="s">
        <v>434</v>
      </c>
      <c r="R2381" s="71" t="s">
        <v>66</v>
      </c>
      <c r="S2381" s="75" t="str">
        <f t="shared" si="37"/>
        <v>SD_DOUGLAS</v>
      </c>
    </row>
    <row r="2382" spans="17:19" x14ac:dyDescent="0.2">
      <c r="Q2382" s="31" t="s">
        <v>1665</v>
      </c>
      <c r="R2382" s="72" t="s">
        <v>66</v>
      </c>
      <c r="S2382" s="75" t="str">
        <f t="shared" si="37"/>
        <v>SD_EDMUNDS</v>
      </c>
    </row>
    <row r="2383" spans="17:19" x14ac:dyDescent="0.2">
      <c r="Q2383" s="30" t="s">
        <v>1666</v>
      </c>
      <c r="R2383" s="71" t="s">
        <v>66</v>
      </c>
      <c r="S2383" s="75" t="str">
        <f t="shared" si="37"/>
        <v>SD_FALL RIVER</v>
      </c>
    </row>
    <row r="2384" spans="17:19" x14ac:dyDescent="0.2">
      <c r="Q2384" s="31" t="s">
        <v>1667</v>
      </c>
      <c r="R2384" s="72" t="s">
        <v>66</v>
      </c>
      <c r="S2384" s="75" t="str">
        <f t="shared" si="37"/>
        <v>SD_FAULK</v>
      </c>
    </row>
    <row r="2385" spans="17:19" x14ac:dyDescent="0.2">
      <c r="Q2385" s="30" t="s">
        <v>325</v>
      </c>
      <c r="R2385" s="71" t="s">
        <v>66</v>
      </c>
      <c r="S2385" s="75" t="str">
        <f t="shared" si="37"/>
        <v>SD_GRANT</v>
      </c>
    </row>
    <row r="2386" spans="17:19" x14ac:dyDescent="0.2">
      <c r="Q2386" s="31" t="s">
        <v>1668</v>
      </c>
      <c r="R2386" s="72" t="s">
        <v>66</v>
      </c>
      <c r="S2386" s="75" t="str">
        <f t="shared" si="37"/>
        <v>SD_GREGORY</v>
      </c>
    </row>
    <row r="2387" spans="17:19" x14ac:dyDescent="0.2">
      <c r="Q2387" s="30" t="s">
        <v>1669</v>
      </c>
      <c r="R2387" s="71" t="s">
        <v>66</v>
      </c>
      <c r="S2387" s="75" t="str">
        <f t="shared" si="37"/>
        <v>SD_HAAKON</v>
      </c>
    </row>
    <row r="2388" spans="17:19" x14ac:dyDescent="0.2">
      <c r="Q2388" s="31" t="s">
        <v>1670</v>
      </c>
      <c r="R2388" s="72" t="s">
        <v>66</v>
      </c>
      <c r="S2388" s="75" t="str">
        <f t="shared" si="37"/>
        <v>SD_HAMLIN</v>
      </c>
    </row>
    <row r="2389" spans="17:19" x14ac:dyDescent="0.2">
      <c r="Q2389" s="30" t="s">
        <v>1671</v>
      </c>
      <c r="R2389" s="71" t="s">
        <v>66</v>
      </c>
      <c r="S2389" s="75" t="str">
        <f t="shared" si="37"/>
        <v>SD_HAND</v>
      </c>
    </row>
    <row r="2390" spans="17:19" x14ac:dyDescent="0.2">
      <c r="Q2390" s="31" t="s">
        <v>1672</v>
      </c>
      <c r="R2390" s="72" t="s">
        <v>66</v>
      </c>
      <c r="S2390" s="75" t="str">
        <f t="shared" si="37"/>
        <v>SD_HANSON</v>
      </c>
    </row>
    <row r="2391" spans="17:19" x14ac:dyDescent="0.2">
      <c r="Q2391" s="30" t="s">
        <v>1358</v>
      </c>
      <c r="R2391" s="71" t="s">
        <v>66</v>
      </c>
      <c r="S2391" s="75" t="str">
        <f t="shared" si="37"/>
        <v>SD_HARDING</v>
      </c>
    </row>
    <row r="2392" spans="17:19" x14ac:dyDescent="0.2">
      <c r="Q2392" s="31" t="s">
        <v>1549</v>
      </c>
      <c r="R2392" s="72" t="s">
        <v>66</v>
      </c>
      <c r="S2392" s="75" t="str">
        <f t="shared" si="37"/>
        <v>SD_HUGHES</v>
      </c>
    </row>
    <row r="2393" spans="17:19" x14ac:dyDescent="0.2">
      <c r="Q2393" s="30" t="s">
        <v>1673</v>
      </c>
      <c r="R2393" s="71" t="s">
        <v>66</v>
      </c>
      <c r="S2393" s="75" t="str">
        <f t="shared" si="37"/>
        <v>SD_HUTCHINSON</v>
      </c>
    </row>
    <row r="2394" spans="17:19" x14ac:dyDescent="0.2">
      <c r="Q2394" s="31" t="s">
        <v>1437</v>
      </c>
      <c r="R2394" s="72" t="s">
        <v>66</v>
      </c>
      <c r="S2394" s="75" t="str">
        <f t="shared" si="37"/>
        <v>SD_HYDE</v>
      </c>
    </row>
    <row r="2395" spans="17:19" x14ac:dyDescent="0.2">
      <c r="Q2395" s="30" t="s">
        <v>232</v>
      </c>
      <c r="R2395" s="71" t="s">
        <v>66</v>
      </c>
      <c r="S2395" s="75" t="str">
        <f t="shared" si="37"/>
        <v>SD_JACKSON</v>
      </c>
    </row>
    <row r="2396" spans="17:19" x14ac:dyDescent="0.2">
      <c r="Q2396" s="31" t="s">
        <v>1674</v>
      </c>
      <c r="R2396" s="72" t="s">
        <v>66</v>
      </c>
      <c r="S2396" s="75" t="str">
        <f t="shared" si="37"/>
        <v>SD_JERAULD</v>
      </c>
    </row>
    <row r="2397" spans="17:19" x14ac:dyDescent="0.2">
      <c r="Q2397" s="30" t="s">
        <v>593</v>
      </c>
      <c r="R2397" s="71" t="s">
        <v>66</v>
      </c>
      <c r="S2397" s="75" t="str">
        <f t="shared" si="37"/>
        <v>SD_JONES</v>
      </c>
    </row>
    <row r="2398" spans="17:19" x14ac:dyDescent="0.2">
      <c r="Q2398" s="31" t="s">
        <v>1675</v>
      </c>
      <c r="R2398" s="72" t="s">
        <v>66</v>
      </c>
      <c r="S2398" s="75" t="str">
        <f t="shared" si="37"/>
        <v>SD_KINGSBURY</v>
      </c>
    </row>
    <row r="2399" spans="17:19" x14ac:dyDescent="0.2">
      <c r="Q2399" s="30" t="s">
        <v>377</v>
      </c>
      <c r="R2399" s="71" t="s">
        <v>66</v>
      </c>
      <c r="S2399" s="75" t="str">
        <f t="shared" si="37"/>
        <v>SD_LAKE</v>
      </c>
    </row>
    <row r="2400" spans="17:19" x14ac:dyDescent="0.2">
      <c r="Q2400" s="31" t="s">
        <v>236</v>
      </c>
      <c r="R2400" s="72" t="s">
        <v>66</v>
      </c>
      <c r="S2400" s="75" t="str">
        <f t="shared" si="37"/>
        <v>SD_LAWRENCE</v>
      </c>
    </row>
    <row r="2401" spans="17:19" x14ac:dyDescent="0.2">
      <c r="Q2401" s="30" t="s">
        <v>333</v>
      </c>
      <c r="R2401" s="71" t="s">
        <v>66</v>
      </c>
      <c r="S2401" s="75" t="str">
        <f t="shared" si="37"/>
        <v>SD_LINCOLN</v>
      </c>
    </row>
    <row r="2402" spans="17:19" x14ac:dyDescent="0.2">
      <c r="Q2402" s="31" t="s">
        <v>1676</v>
      </c>
      <c r="R2402" s="72" t="s">
        <v>66</v>
      </c>
      <c r="S2402" s="75" t="str">
        <f t="shared" si="37"/>
        <v>SD_LYMAN</v>
      </c>
    </row>
    <row r="2403" spans="17:19" x14ac:dyDescent="0.2">
      <c r="Q2403" s="30" t="s">
        <v>1677</v>
      </c>
      <c r="R2403" s="71" t="s">
        <v>66</v>
      </c>
      <c r="S2403" s="75" t="str">
        <f t="shared" si="37"/>
        <v>SD_MCCOOK</v>
      </c>
    </row>
    <row r="2404" spans="17:19" x14ac:dyDescent="0.2">
      <c r="Q2404" s="31" t="s">
        <v>850</v>
      </c>
      <c r="R2404" s="72" t="s">
        <v>66</v>
      </c>
      <c r="S2404" s="75" t="str">
        <f t="shared" si="37"/>
        <v>SD_MCPHERSON</v>
      </c>
    </row>
    <row r="2405" spans="17:19" x14ac:dyDescent="0.2">
      <c r="Q2405" s="30" t="s">
        <v>244</v>
      </c>
      <c r="R2405" s="71" t="s">
        <v>66</v>
      </c>
      <c r="S2405" s="75" t="str">
        <f t="shared" si="37"/>
        <v>SD_MARSHALL</v>
      </c>
    </row>
    <row r="2406" spans="17:19" x14ac:dyDescent="0.2">
      <c r="Q2406" s="31" t="s">
        <v>851</v>
      </c>
      <c r="R2406" s="72" t="s">
        <v>66</v>
      </c>
      <c r="S2406" s="75" t="str">
        <f t="shared" si="37"/>
        <v>SD_MEADE</v>
      </c>
    </row>
    <row r="2407" spans="17:19" x14ac:dyDescent="0.2">
      <c r="Q2407" s="30" t="s">
        <v>1678</v>
      </c>
      <c r="R2407" s="71" t="s">
        <v>66</v>
      </c>
      <c r="S2407" s="75" t="str">
        <f t="shared" si="37"/>
        <v>SD_MELLETTE</v>
      </c>
    </row>
    <row r="2408" spans="17:19" x14ac:dyDescent="0.2">
      <c r="Q2408" s="31" t="s">
        <v>1679</v>
      </c>
      <c r="R2408" s="72" t="s">
        <v>66</v>
      </c>
      <c r="S2408" s="75" t="str">
        <f t="shared" si="37"/>
        <v>SD_MINER</v>
      </c>
    </row>
    <row r="2409" spans="17:19" x14ac:dyDescent="0.2">
      <c r="Q2409" s="30" t="s">
        <v>1680</v>
      </c>
      <c r="R2409" s="71" t="s">
        <v>66</v>
      </c>
      <c r="S2409" s="75" t="str">
        <f t="shared" si="37"/>
        <v>SD_MINNEHAHA</v>
      </c>
    </row>
    <row r="2410" spans="17:19" x14ac:dyDescent="0.2">
      <c r="Q2410" s="31" t="s">
        <v>1681</v>
      </c>
      <c r="R2410" s="72" t="s">
        <v>66</v>
      </c>
      <c r="S2410" s="75" t="str">
        <f t="shared" si="37"/>
        <v>SD_MOODY</v>
      </c>
    </row>
    <row r="2411" spans="17:19" x14ac:dyDescent="0.2">
      <c r="Q2411" s="30" t="s">
        <v>1142</v>
      </c>
      <c r="R2411" s="71" t="s">
        <v>66</v>
      </c>
      <c r="S2411" s="75" t="str">
        <f t="shared" si="37"/>
        <v>SD_PENNINGTON</v>
      </c>
    </row>
    <row r="2412" spans="17:19" x14ac:dyDescent="0.2">
      <c r="Q2412" s="31" t="s">
        <v>1312</v>
      </c>
      <c r="R2412" s="72" t="s">
        <v>66</v>
      </c>
      <c r="S2412" s="75" t="str">
        <f t="shared" si="37"/>
        <v>SD_PERKINS</v>
      </c>
    </row>
    <row r="2413" spans="17:19" x14ac:dyDescent="0.2">
      <c r="Q2413" s="30" t="s">
        <v>1619</v>
      </c>
      <c r="R2413" s="71" t="s">
        <v>66</v>
      </c>
      <c r="S2413" s="75" t="str">
        <f t="shared" si="37"/>
        <v>SD_POTTER</v>
      </c>
    </row>
    <row r="2414" spans="17:19" x14ac:dyDescent="0.2">
      <c r="Q2414" s="31" t="s">
        <v>1682</v>
      </c>
      <c r="R2414" s="72" t="s">
        <v>66</v>
      </c>
      <c r="S2414" s="75" t="str">
        <f t="shared" si="37"/>
        <v>SD_ROBERTS</v>
      </c>
    </row>
    <row r="2415" spans="17:19" x14ac:dyDescent="0.2">
      <c r="Q2415" s="30" t="s">
        <v>1683</v>
      </c>
      <c r="R2415" s="71" t="s">
        <v>66</v>
      </c>
      <c r="S2415" s="75" t="str">
        <f t="shared" si="37"/>
        <v>SD_SANBORN</v>
      </c>
    </row>
    <row r="2416" spans="17:19" x14ac:dyDescent="0.2">
      <c r="Q2416" s="31" t="s">
        <v>1237</v>
      </c>
      <c r="R2416" s="72" t="s">
        <v>66</v>
      </c>
      <c r="S2416" s="75" t="str">
        <f t="shared" si="37"/>
        <v>SD_SHANNON</v>
      </c>
    </row>
    <row r="2417" spans="17:19" x14ac:dyDescent="0.2">
      <c r="Q2417" s="30" t="s">
        <v>1684</v>
      </c>
      <c r="R2417" s="71" t="s">
        <v>66</v>
      </c>
      <c r="S2417" s="75" t="str">
        <f t="shared" si="37"/>
        <v>SD_SPINK</v>
      </c>
    </row>
    <row r="2418" spans="17:19" x14ac:dyDescent="0.2">
      <c r="Q2418" s="31" t="s">
        <v>1685</v>
      </c>
      <c r="R2418" s="72" t="s">
        <v>66</v>
      </c>
      <c r="S2418" s="75" t="str">
        <f t="shared" si="37"/>
        <v>SD_STANLEY</v>
      </c>
    </row>
    <row r="2419" spans="17:19" x14ac:dyDescent="0.2">
      <c r="Q2419" s="30" t="s">
        <v>1686</v>
      </c>
      <c r="R2419" s="71" t="s">
        <v>66</v>
      </c>
      <c r="S2419" s="75" t="str">
        <f t="shared" si="37"/>
        <v>SD_SULLY</v>
      </c>
    </row>
    <row r="2420" spans="17:19" x14ac:dyDescent="0.2">
      <c r="Q2420" s="31" t="s">
        <v>937</v>
      </c>
      <c r="R2420" s="72" t="s">
        <v>66</v>
      </c>
      <c r="S2420" s="75" t="str">
        <f t="shared" si="37"/>
        <v>SD_TODD</v>
      </c>
    </row>
    <row r="2421" spans="17:19" x14ac:dyDescent="0.2">
      <c r="Q2421" s="30" t="s">
        <v>1687</v>
      </c>
      <c r="R2421" s="71" t="s">
        <v>66</v>
      </c>
      <c r="S2421" s="75" t="str">
        <f t="shared" si="37"/>
        <v>SD_TRIPP</v>
      </c>
    </row>
    <row r="2422" spans="17:19" x14ac:dyDescent="0.2">
      <c r="Q2422" s="31" t="s">
        <v>629</v>
      </c>
      <c r="R2422" s="72" t="s">
        <v>66</v>
      </c>
      <c r="S2422" s="75" t="str">
        <f t="shared" si="37"/>
        <v>SD_TURNER</v>
      </c>
    </row>
    <row r="2423" spans="17:19" x14ac:dyDescent="0.2">
      <c r="Q2423" s="30" t="s">
        <v>356</v>
      </c>
      <c r="R2423" s="71" t="s">
        <v>66</v>
      </c>
      <c r="S2423" s="75" t="str">
        <f t="shared" si="37"/>
        <v>SD_UNION</v>
      </c>
    </row>
    <row r="2424" spans="17:19" x14ac:dyDescent="0.2">
      <c r="Q2424" s="31" t="s">
        <v>1688</v>
      </c>
      <c r="R2424" s="72" t="s">
        <v>66</v>
      </c>
      <c r="S2424" s="75" t="str">
        <f t="shared" si="37"/>
        <v>SD_WALWORTH</v>
      </c>
    </row>
    <row r="2425" spans="17:19" x14ac:dyDescent="0.2">
      <c r="Q2425" s="30" t="s">
        <v>1689</v>
      </c>
      <c r="R2425" s="71" t="s">
        <v>66</v>
      </c>
      <c r="S2425" s="75" t="str">
        <f t="shared" si="37"/>
        <v>SD_YANKTON</v>
      </c>
    </row>
    <row r="2426" spans="17:19" x14ac:dyDescent="0.2">
      <c r="Q2426" s="31" t="s">
        <v>1690</v>
      </c>
      <c r="R2426" s="72" t="s">
        <v>66</v>
      </c>
      <c r="S2426" s="75" t="str">
        <f t="shared" si="37"/>
        <v>SD_ZIEBACH</v>
      </c>
    </row>
    <row r="2427" spans="17:19" x14ac:dyDescent="0.2">
      <c r="Q2427" s="30" t="s">
        <v>819</v>
      </c>
      <c r="R2427" s="71" t="s">
        <v>65</v>
      </c>
      <c r="S2427" s="75" t="str">
        <f t="shared" si="37"/>
        <v>TN_ANDERSON</v>
      </c>
    </row>
    <row r="2428" spans="17:19" x14ac:dyDescent="0.2">
      <c r="Q2428" s="31" t="s">
        <v>1594</v>
      </c>
      <c r="R2428" s="72" t="s">
        <v>65</v>
      </c>
      <c r="S2428" s="75" t="str">
        <f t="shared" si="37"/>
        <v>TN_BEDFORD</v>
      </c>
    </row>
    <row r="2429" spans="17:19" x14ac:dyDescent="0.2">
      <c r="Q2429" s="30" t="s">
        <v>307</v>
      </c>
      <c r="R2429" s="71" t="s">
        <v>65</v>
      </c>
      <c r="S2429" s="75" t="str">
        <f t="shared" si="37"/>
        <v>TN_BENTON</v>
      </c>
    </row>
    <row r="2430" spans="17:19" x14ac:dyDescent="0.2">
      <c r="Q2430" s="31" t="s">
        <v>1691</v>
      </c>
      <c r="R2430" s="72" t="s">
        <v>65</v>
      </c>
      <c r="S2430" s="75" t="str">
        <f t="shared" si="37"/>
        <v>TN_BLEDSOE</v>
      </c>
    </row>
    <row r="2431" spans="17:19" x14ac:dyDescent="0.2">
      <c r="Q2431" s="30" t="s">
        <v>201</v>
      </c>
      <c r="R2431" s="71" t="s">
        <v>65</v>
      </c>
      <c r="S2431" s="75" t="str">
        <f t="shared" si="37"/>
        <v>TN_BLOUNT</v>
      </c>
    </row>
    <row r="2432" spans="17:19" x14ac:dyDescent="0.2">
      <c r="Q2432" s="31" t="s">
        <v>309</v>
      </c>
      <c r="R2432" s="72" t="s">
        <v>65</v>
      </c>
      <c r="S2432" s="75" t="str">
        <f t="shared" si="37"/>
        <v>TN_BRADLEY</v>
      </c>
    </row>
    <row r="2433" spans="17:19" x14ac:dyDescent="0.2">
      <c r="Q2433" s="30" t="s">
        <v>898</v>
      </c>
      <c r="R2433" s="71" t="s">
        <v>65</v>
      </c>
      <c r="S2433" s="75" t="str">
        <f t="shared" si="37"/>
        <v>TN_CAMPBELL</v>
      </c>
    </row>
    <row r="2434" spans="17:19" x14ac:dyDescent="0.2">
      <c r="Q2434" s="31" t="s">
        <v>1692</v>
      </c>
      <c r="R2434" s="72" t="s">
        <v>65</v>
      </c>
      <c r="S2434" s="75" t="str">
        <f t="shared" si="37"/>
        <v>TN_CANNON</v>
      </c>
    </row>
    <row r="2435" spans="17:19" x14ac:dyDescent="0.2">
      <c r="Q2435" s="30" t="s">
        <v>310</v>
      </c>
      <c r="R2435" s="71" t="s">
        <v>65</v>
      </c>
      <c r="S2435" s="75" t="str">
        <f t="shared" si="37"/>
        <v>TN_CARROLL</v>
      </c>
    </row>
    <row r="2436" spans="17:19" x14ac:dyDescent="0.2">
      <c r="Q2436" s="31" t="s">
        <v>900</v>
      </c>
      <c r="R2436" s="72" t="s">
        <v>65</v>
      </c>
      <c r="S2436" s="75" t="str">
        <f t="shared" ref="S2436:S2499" si="38">UPPER(CONCATENATE(TRIM(R2436),"_",TRIM(Q2436)))</f>
        <v>TN_CARTER</v>
      </c>
    </row>
    <row r="2437" spans="17:19" x14ac:dyDescent="0.2">
      <c r="Q2437" s="30" t="s">
        <v>1693</v>
      </c>
      <c r="R2437" s="71" t="s">
        <v>65</v>
      </c>
      <c r="S2437" s="75" t="str">
        <f t="shared" si="38"/>
        <v>TN_CHEATHAM</v>
      </c>
    </row>
    <row r="2438" spans="17:19" x14ac:dyDescent="0.2">
      <c r="Q2438" s="31" t="s">
        <v>1601</v>
      </c>
      <c r="R2438" s="72" t="s">
        <v>65</v>
      </c>
      <c r="S2438" s="75" t="str">
        <f t="shared" si="38"/>
        <v>TN_CHESTER</v>
      </c>
    </row>
    <row r="2439" spans="17:19" x14ac:dyDescent="0.2">
      <c r="Q2439" s="30" t="s">
        <v>1169</v>
      </c>
      <c r="R2439" s="71" t="s">
        <v>65</v>
      </c>
      <c r="S2439" s="75" t="str">
        <f t="shared" si="38"/>
        <v>TN_CLAIBORNE</v>
      </c>
    </row>
    <row r="2440" spans="17:19" x14ac:dyDescent="0.2">
      <c r="Q2440" s="31" t="s">
        <v>210</v>
      </c>
      <c r="R2440" s="72" t="s">
        <v>65</v>
      </c>
      <c r="S2440" s="75" t="str">
        <f t="shared" si="38"/>
        <v>TN_CLAY</v>
      </c>
    </row>
    <row r="2441" spans="17:19" x14ac:dyDescent="0.2">
      <c r="Q2441" s="30" t="s">
        <v>1694</v>
      </c>
      <c r="R2441" s="71" t="s">
        <v>65</v>
      </c>
      <c r="S2441" s="75" t="str">
        <f t="shared" si="38"/>
        <v>TN_COCKE</v>
      </c>
    </row>
    <row r="2442" spans="17:19" x14ac:dyDescent="0.2">
      <c r="Q2442" s="31" t="s">
        <v>212</v>
      </c>
      <c r="R2442" s="72" t="s">
        <v>65</v>
      </c>
      <c r="S2442" s="75" t="str">
        <f t="shared" si="38"/>
        <v>TN_COFFEE</v>
      </c>
    </row>
    <row r="2443" spans="17:19" x14ac:dyDescent="0.2">
      <c r="Q2443" s="30" t="s">
        <v>1695</v>
      </c>
      <c r="R2443" s="71" t="s">
        <v>65</v>
      </c>
      <c r="S2443" s="75" t="str">
        <f t="shared" si="38"/>
        <v>TN_CROCKETT</v>
      </c>
    </row>
    <row r="2444" spans="17:19" x14ac:dyDescent="0.2">
      <c r="Q2444" s="31" t="s">
        <v>688</v>
      </c>
      <c r="R2444" s="72" t="s">
        <v>65</v>
      </c>
      <c r="S2444" s="75" t="str">
        <f t="shared" si="38"/>
        <v>TN_CUMBERLAND</v>
      </c>
    </row>
    <row r="2445" spans="17:19" x14ac:dyDescent="0.2">
      <c r="Q2445" s="30" t="s">
        <v>1423</v>
      </c>
      <c r="R2445" s="71" t="s">
        <v>65</v>
      </c>
      <c r="S2445" s="75" t="str">
        <f t="shared" si="38"/>
        <v>TN_DAVIDSON</v>
      </c>
    </row>
    <row r="2446" spans="17:19" x14ac:dyDescent="0.2">
      <c r="Q2446" s="31" t="s">
        <v>563</v>
      </c>
      <c r="R2446" s="72" t="s">
        <v>65</v>
      </c>
      <c r="S2446" s="75" t="str">
        <f t="shared" si="38"/>
        <v>TN_DECATUR</v>
      </c>
    </row>
    <row r="2447" spans="17:19" x14ac:dyDescent="0.2">
      <c r="Q2447" s="30" t="s">
        <v>221</v>
      </c>
      <c r="R2447" s="71" t="s">
        <v>65</v>
      </c>
      <c r="S2447" s="75" t="str">
        <f t="shared" si="38"/>
        <v>TN_DEKALB</v>
      </c>
    </row>
    <row r="2448" spans="17:19" x14ac:dyDescent="0.2">
      <c r="Q2448" s="31" t="s">
        <v>1696</v>
      </c>
      <c r="R2448" s="72" t="s">
        <v>65</v>
      </c>
      <c r="S2448" s="75" t="str">
        <f t="shared" si="38"/>
        <v>TN_DICKSON</v>
      </c>
    </row>
    <row r="2449" spans="17:19" x14ac:dyDescent="0.2">
      <c r="Q2449" s="30" t="s">
        <v>1697</v>
      </c>
      <c r="R2449" s="71" t="s">
        <v>65</v>
      </c>
      <c r="S2449" s="75" t="str">
        <f t="shared" si="38"/>
        <v>TN_DYER</v>
      </c>
    </row>
    <row r="2450" spans="17:19" x14ac:dyDescent="0.2">
      <c r="Q2450" s="31" t="s">
        <v>225</v>
      </c>
      <c r="R2450" s="72" t="s">
        <v>65</v>
      </c>
      <c r="S2450" s="75" t="str">
        <f t="shared" si="38"/>
        <v>TN_FAYETTE</v>
      </c>
    </row>
    <row r="2451" spans="17:19" x14ac:dyDescent="0.2">
      <c r="Q2451" s="30" t="s">
        <v>1698</v>
      </c>
      <c r="R2451" s="71" t="s">
        <v>65</v>
      </c>
      <c r="S2451" s="75" t="str">
        <f t="shared" si="38"/>
        <v>TN_FENTRESS</v>
      </c>
    </row>
    <row r="2452" spans="17:19" x14ac:dyDescent="0.2">
      <c r="Q2452" s="31" t="s">
        <v>226</v>
      </c>
      <c r="R2452" s="72" t="s">
        <v>65</v>
      </c>
      <c r="S2452" s="75" t="str">
        <f t="shared" si="38"/>
        <v>TN_FRANKLIN</v>
      </c>
    </row>
    <row r="2453" spans="17:19" x14ac:dyDescent="0.2">
      <c r="Q2453" s="30" t="s">
        <v>742</v>
      </c>
      <c r="R2453" s="71" t="s">
        <v>65</v>
      </c>
      <c r="S2453" s="75" t="str">
        <f t="shared" si="38"/>
        <v>TN_GIBSON</v>
      </c>
    </row>
    <row r="2454" spans="17:19" x14ac:dyDescent="0.2">
      <c r="Q2454" s="31" t="s">
        <v>1699</v>
      </c>
      <c r="R2454" s="72" t="s">
        <v>65</v>
      </c>
      <c r="S2454" s="75" t="str">
        <f t="shared" si="38"/>
        <v>TN_GILES</v>
      </c>
    </row>
    <row r="2455" spans="17:19" x14ac:dyDescent="0.2">
      <c r="Q2455" s="30" t="s">
        <v>1700</v>
      </c>
      <c r="R2455" s="71" t="s">
        <v>65</v>
      </c>
      <c r="S2455" s="75" t="str">
        <f t="shared" si="38"/>
        <v>TN_GRAINGER</v>
      </c>
    </row>
    <row r="2456" spans="17:19" x14ac:dyDescent="0.2">
      <c r="Q2456" s="31" t="s">
        <v>228</v>
      </c>
      <c r="R2456" s="72" t="s">
        <v>65</v>
      </c>
      <c r="S2456" s="75" t="str">
        <f t="shared" si="38"/>
        <v>TN_GREENE</v>
      </c>
    </row>
    <row r="2457" spans="17:19" x14ac:dyDescent="0.2">
      <c r="Q2457" s="30" t="s">
        <v>695</v>
      </c>
      <c r="R2457" s="71" t="s">
        <v>65</v>
      </c>
      <c r="S2457" s="75" t="str">
        <f t="shared" si="38"/>
        <v>TN_GRUNDY</v>
      </c>
    </row>
    <row r="2458" spans="17:19" x14ac:dyDescent="0.2">
      <c r="Q2458" s="31" t="s">
        <v>1701</v>
      </c>
      <c r="R2458" s="72" t="s">
        <v>65</v>
      </c>
      <c r="S2458" s="75" t="str">
        <f t="shared" si="38"/>
        <v>TN_HAMBLEN</v>
      </c>
    </row>
    <row r="2459" spans="17:19" x14ac:dyDescent="0.2">
      <c r="Q2459" s="30" t="s">
        <v>502</v>
      </c>
      <c r="R2459" s="71" t="s">
        <v>65</v>
      </c>
      <c r="S2459" s="75" t="str">
        <f t="shared" si="38"/>
        <v>TN_HAMILTON</v>
      </c>
    </row>
    <row r="2460" spans="17:19" x14ac:dyDescent="0.2">
      <c r="Q2460" s="31" t="s">
        <v>584</v>
      </c>
      <c r="R2460" s="72" t="s">
        <v>65</v>
      </c>
      <c r="S2460" s="75" t="str">
        <f t="shared" si="38"/>
        <v>TN_HANCOCK</v>
      </c>
    </row>
    <row r="2461" spans="17:19" x14ac:dyDescent="0.2">
      <c r="Q2461" s="30" t="s">
        <v>1702</v>
      </c>
      <c r="R2461" s="71" t="s">
        <v>65</v>
      </c>
      <c r="S2461" s="75" t="str">
        <f t="shared" si="38"/>
        <v>TN_HARDEMAN</v>
      </c>
    </row>
    <row r="2462" spans="17:19" x14ac:dyDescent="0.2">
      <c r="Q2462" s="31" t="s">
        <v>696</v>
      </c>
      <c r="R2462" s="72" t="s">
        <v>65</v>
      </c>
      <c r="S2462" s="75" t="str">
        <f t="shared" si="38"/>
        <v>TN_HARDIN</v>
      </c>
    </row>
    <row r="2463" spans="17:19" x14ac:dyDescent="0.2">
      <c r="Q2463" s="30" t="s">
        <v>1703</v>
      </c>
      <c r="R2463" s="71" t="s">
        <v>65</v>
      </c>
      <c r="S2463" s="75" t="str">
        <f t="shared" si="38"/>
        <v>TN_HAWKINS</v>
      </c>
    </row>
    <row r="2464" spans="17:19" x14ac:dyDescent="0.2">
      <c r="Q2464" s="31" t="s">
        <v>1434</v>
      </c>
      <c r="R2464" s="72" t="s">
        <v>65</v>
      </c>
      <c r="S2464" s="75" t="str">
        <f t="shared" si="38"/>
        <v>TN_HAYWOOD</v>
      </c>
    </row>
    <row r="2465" spans="17:19" x14ac:dyDescent="0.2">
      <c r="Q2465" s="30" t="s">
        <v>697</v>
      </c>
      <c r="R2465" s="71" t="s">
        <v>65</v>
      </c>
      <c r="S2465" s="75" t="str">
        <f t="shared" si="38"/>
        <v>TN_HENDERSON</v>
      </c>
    </row>
    <row r="2466" spans="17:19" x14ac:dyDescent="0.2">
      <c r="Q2466" s="31" t="s">
        <v>230</v>
      </c>
      <c r="R2466" s="72" t="s">
        <v>65</v>
      </c>
      <c r="S2466" s="75" t="str">
        <f t="shared" si="38"/>
        <v>TN_HENRY</v>
      </c>
    </row>
    <row r="2467" spans="17:19" x14ac:dyDescent="0.2">
      <c r="Q2467" s="30" t="s">
        <v>912</v>
      </c>
      <c r="R2467" s="71" t="s">
        <v>65</v>
      </c>
      <c r="S2467" s="75" t="str">
        <f t="shared" si="38"/>
        <v>TN_HICKMAN</v>
      </c>
    </row>
    <row r="2468" spans="17:19" x14ac:dyDescent="0.2">
      <c r="Q2468" s="31" t="s">
        <v>231</v>
      </c>
      <c r="R2468" s="72" t="s">
        <v>65</v>
      </c>
      <c r="S2468" s="75" t="str">
        <f t="shared" si="38"/>
        <v>TN_HOUSTON</v>
      </c>
    </row>
    <row r="2469" spans="17:19" x14ac:dyDescent="0.2">
      <c r="Q2469" s="30" t="s">
        <v>1177</v>
      </c>
      <c r="R2469" s="71" t="s">
        <v>65</v>
      </c>
      <c r="S2469" s="75" t="str">
        <f t="shared" si="38"/>
        <v>TN_HUMPHREYS</v>
      </c>
    </row>
    <row r="2470" spans="17:19" x14ac:dyDescent="0.2">
      <c r="Q2470" s="31" t="s">
        <v>232</v>
      </c>
      <c r="R2470" s="72" t="s">
        <v>65</v>
      </c>
      <c r="S2470" s="75" t="str">
        <f t="shared" si="38"/>
        <v>TN_JACKSON</v>
      </c>
    </row>
    <row r="2471" spans="17:19" x14ac:dyDescent="0.2">
      <c r="Q2471" s="30" t="s">
        <v>233</v>
      </c>
      <c r="R2471" s="71" t="s">
        <v>65</v>
      </c>
      <c r="S2471" s="75" t="str">
        <f t="shared" si="38"/>
        <v>TN_JEFFERSON</v>
      </c>
    </row>
    <row r="2472" spans="17:19" x14ac:dyDescent="0.2">
      <c r="Q2472" s="31" t="s">
        <v>331</v>
      </c>
      <c r="R2472" s="72" t="s">
        <v>65</v>
      </c>
      <c r="S2472" s="75" t="str">
        <f t="shared" si="38"/>
        <v>TN_JOHNSON</v>
      </c>
    </row>
    <row r="2473" spans="17:19" x14ac:dyDescent="0.2">
      <c r="Q2473" s="30" t="s">
        <v>704</v>
      </c>
      <c r="R2473" s="71" t="s">
        <v>65</v>
      </c>
      <c r="S2473" s="75" t="str">
        <f t="shared" si="38"/>
        <v>TN_KNOX</v>
      </c>
    </row>
    <row r="2474" spans="17:19" x14ac:dyDescent="0.2">
      <c r="Q2474" s="31" t="s">
        <v>377</v>
      </c>
      <c r="R2474" s="72" t="s">
        <v>65</v>
      </c>
      <c r="S2474" s="75" t="str">
        <f t="shared" si="38"/>
        <v>TN_LAKE</v>
      </c>
    </row>
    <row r="2475" spans="17:19" x14ac:dyDescent="0.2">
      <c r="Q2475" s="30" t="s">
        <v>235</v>
      </c>
      <c r="R2475" s="71" t="s">
        <v>65</v>
      </c>
      <c r="S2475" s="75" t="str">
        <f t="shared" si="38"/>
        <v>TN_LAUDERDALE</v>
      </c>
    </row>
    <row r="2476" spans="17:19" x14ac:dyDescent="0.2">
      <c r="Q2476" s="31" t="s">
        <v>236</v>
      </c>
      <c r="R2476" s="72" t="s">
        <v>65</v>
      </c>
      <c r="S2476" s="75" t="str">
        <f t="shared" si="38"/>
        <v>TN_LAWRENCE</v>
      </c>
    </row>
    <row r="2477" spans="17:19" x14ac:dyDescent="0.2">
      <c r="Q2477" s="30" t="s">
        <v>668</v>
      </c>
      <c r="R2477" s="71" t="s">
        <v>65</v>
      </c>
      <c r="S2477" s="75" t="str">
        <f t="shared" si="38"/>
        <v>TN_LEWIS</v>
      </c>
    </row>
    <row r="2478" spans="17:19" x14ac:dyDescent="0.2">
      <c r="Q2478" s="31" t="s">
        <v>333</v>
      </c>
      <c r="R2478" s="72" t="s">
        <v>65</v>
      </c>
      <c r="S2478" s="75" t="str">
        <f t="shared" si="38"/>
        <v>TN_LINCOLN</v>
      </c>
    </row>
    <row r="2479" spans="17:19" x14ac:dyDescent="0.2">
      <c r="Q2479" s="30" t="s">
        <v>1704</v>
      </c>
      <c r="R2479" s="71" t="s">
        <v>65</v>
      </c>
      <c r="S2479" s="75" t="str">
        <f t="shared" si="38"/>
        <v>TN_LOUDON</v>
      </c>
    </row>
    <row r="2480" spans="17:19" x14ac:dyDescent="0.2">
      <c r="Q2480" s="31" t="s">
        <v>1705</v>
      </c>
      <c r="R2480" s="72" t="s">
        <v>65</v>
      </c>
      <c r="S2480" s="75" t="str">
        <f t="shared" si="38"/>
        <v>TN_MCMINN</v>
      </c>
    </row>
    <row r="2481" spans="17:19" x14ac:dyDescent="0.2">
      <c r="Q2481" s="30" t="s">
        <v>1706</v>
      </c>
      <c r="R2481" s="71" t="s">
        <v>65</v>
      </c>
      <c r="S2481" s="75" t="str">
        <f t="shared" si="38"/>
        <v>TN_MCNAIRY</v>
      </c>
    </row>
    <row r="2482" spans="17:19" x14ac:dyDescent="0.2">
      <c r="Q2482" s="31" t="s">
        <v>240</v>
      </c>
      <c r="R2482" s="72" t="s">
        <v>65</v>
      </c>
      <c r="S2482" s="75" t="str">
        <f t="shared" si="38"/>
        <v>TN_MACON</v>
      </c>
    </row>
    <row r="2483" spans="17:19" x14ac:dyDescent="0.2">
      <c r="Q2483" s="30" t="s">
        <v>241</v>
      </c>
      <c r="R2483" s="71" t="s">
        <v>65</v>
      </c>
      <c r="S2483" s="75" t="str">
        <f t="shared" si="38"/>
        <v>TN_MADISON</v>
      </c>
    </row>
    <row r="2484" spans="17:19" x14ac:dyDescent="0.2">
      <c r="Q2484" s="31" t="s">
        <v>243</v>
      </c>
      <c r="R2484" s="72" t="s">
        <v>65</v>
      </c>
      <c r="S2484" s="75" t="str">
        <f t="shared" si="38"/>
        <v>TN_MARION</v>
      </c>
    </row>
    <row r="2485" spans="17:19" x14ac:dyDescent="0.2">
      <c r="Q2485" s="30" t="s">
        <v>244</v>
      </c>
      <c r="R2485" s="71" t="s">
        <v>65</v>
      </c>
      <c r="S2485" s="75" t="str">
        <f t="shared" si="38"/>
        <v>TN_MARSHALL</v>
      </c>
    </row>
    <row r="2486" spans="17:19" x14ac:dyDescent="0.2">
      <c r="Q2486" s="31" t="s">
        <v>1707</v>
      </c>
      <c r="R2486" s="72" t="s">
        <v>65</v>
      </c>
      <c r="S2486" s="75" t="str">
        <f t="shared" si="38"/>
        <v>TN_MAURY</v>
      </c>
    </row>
    <row r="2487" spans="17:19" x14ac:dyDescent="0.2">
      <c r="Q2487" s="30" t="s">
        <v>1519</v>
      </c>
      <c r="R2487" s="71" t="s">
        <v>65</v>
      </c>
      <c r="S2487" s="75" t="str">
        <f t="shared" si="38"/>
        <v>TN_MEIGS</v>
      </c>
    </row>
    <row r="2488" spans="17:19" x14ac:dyDescent="0.2">
      <c r="Q2488" s="31" t="s">
        <v>246</v>
      </c>
      <c r="R2488" s="72" t="s">
        <v>65</v>
      </c>
      <c r="S2488" s="75" t="str">
        <f t="shared" si="38"/>
        <v>TN_MONROE</v>
      </c>
    </row>
    <row r="2489" spans="17:19" x14ac:dyDescent="0.2">
      <c r="Q2489" s="30" t="s">
        <v>247</v>
      </c>
      <c r="R2489" s="71" t="s">
        <v>65</v>
      </c>
      <c r="S2489" s="75" t="str">
        <f t="shared" si="38"/>
        <v>TN_MONTGOMERY</v>
      </c>
    </row>
    <row r="2490" spans="17:19" x14ac:dyDescent="0.2">
      <c r="Q2490" s="31" t="s">
        <v>1443</v>
      </c>
      <c r="R2490" s="72" t="s">
        <v>65</v>
      </c>
      <c r="S2490" s="75" t="str">
        <f t="shared" si="38"/>
        <v>TN_MOORE</v>
      </c>
    </row>
    <row r="2491" spans="17:19" x14ac:dyDescent="0.2">
      <c r="Q2491" s="30" t="s">
        <v>248</v>
      </c>
      <c r="R2491" s="71" t="s">
        <v>65</v>
      </c>
      <c r="S2491" s="75" t="str">
        <f t="shared" si="38"/>
        <v>TN_MORGAN</v>
      </c>
    </row>
    <row r="2492" spans="17:19" x14ac:dyDescent="0.2">
      <c r="Q2492" s="31" t="s">
        <v>1708</v>
      </c>
      <c r="R2492" s="72" t="s">
        <v>65</v>
      </c>
      <c r="S2492" s="75" t="str">
        <f t="shared" si="38"/>
        <v>TN_OBION</v>
      </c>
    </row>
    <row r="2493" spans="17:19" x14ac:dyDescent="0.2">
      <c r="Q2493" s="30" t="s">
        <v>1709</v>
      </c>
      <c r="R2493" s="71" t="s">
        <v>65</v>
      </c>
      <c r="S2493" s="75" t="str">
        <f t="shared" si="38"/>
        <v>TN_OVERTON</v>
      </c>
    </row>
    <row r="2494" spans="17:19" x14ac:dyDescent="0.2">
      <c r="Q2494" s="31" t="s">
        <v>249</v>
      </c>
      <c r="R2494" s="72" t="s">
        <v>65</v>
      </c>
      <c r="S2494" s="75" t="str">
        <f t="shared" si="38"/>
        <v>TN_PERRY</v>
      </c>
    </row>
    <row r="2495" spans="17:19" x14ac:dyDescent="0.2">
      <c r="Q2495" s="30" t="s">
        <v>1710</v>
      </c>
      <c r="R2495" s="71" t="s">
        <v>65</v>
      </c>
      <c r="S2495" s="75" t="str">
        <f t="shared" si="38"/>
        <v>TN_PICKETT</v>
      </c>
    </row>
    <row r="2496" spans="17:19" x14ac:dyDescent="0.2">
      <c r="Q2496" s="31" t="s">
        <v>344</v>
      </c>
      <c r="R2496" s="72" t="s">
        <v>65</v>
      </c>
      <c r="S2496" s="75" t="str">
        <f t="shared" si="38"/>
        <v>TN_POLK</v>
      </c>
    </row>
    <row r="2497" spans="17:19" x14ac:dyDescent="0.2">
      <c r="Q2497" s="30" t="s">
        <v>522</v>
      </c>
      <c r="R2497" s="71" t="s">
        <v>65</v>
      </c>
      <c r="S2497" s="75" t="str">
        <f t="shared" si="38"/>
        <v>TN_PUTNAM</v>
      </c>
    </row>
    <row r="2498" spans="17:19" x14ac:dyDescent="0.2">
      <c r="Q2498" s="31" t="s">
        <v>1711</v>
      </c>
      <c r="R2498" s="72" t="s">
        <v>65</v>
      </c>
      <c r="S2498" s="75" t="str">
        <f t="shared" si="38"/>
        <v>TN_RHEA</v>
      </c>
    </row>
    <row r="2499" spans="17:19" x14ac:dyDescent="0.2">
      <c r="Q2499" s="30" t="s">
        <v>1712</v>
      </c>
      <c r="R2499" s="71" t="s">
        <v>65</v>
      </c>
      <c r="S2499" s="75" t="str">
        <f t="shared" si="38"/>
        <v>TN_ROANE</v>
      </c>
    </row>
    <row r="2500" spans="17:19" x14ac:dyDescent="0.2">
      <c r="Q2500" s="31" t="s">
        <v>933</v>
      </c>
      <c r="R2500" s="72" t="s">
        <v>65</v>
      </c>
      <c r="S2500" s="75" t="str">
        <f t="shared" ref="S2500:S2563" si="39">UPPER(CONCATENATE(TRIM(R2500),"_",TRIM(Q2500)))</f>
        <v>TN_ROBERTSON</v>
      </c>
    </row>
    <row r="2501" spans="17:19" x14ac:dyDescent="0.2">
      <c r="Q2501" s="30" t="s">
        <v>1455</v>
      </c>
      <c r="R2501" s="71" t="s">
        <v>65</v>
      </c>
      <c r="S2501" s="75" t="str">
        <f t="shared" si="39"/>
        <v>TN_RUTHERFORD</v>
      </c>
    </row>
    <row r="2502" spans="17:19" x14ac:dyDescent="0.2">
      <c r="Q2502" s="31" t="s">
        <v>350</v>
      </c>
      <c r="R2502" s="72" t="s">
        <v>65</v>
      </c>
      <c r="S2502" s="75" t="str">
        <f t="shared" si="39"/>
        <v>TN_SCOTT</v>
      </c>
    </row>
    <row r="2503" spans="17:19" x14ac:dyDescent="0.2">
      <c r="Q2503" s="30" t="s">
        <v>1713</v>
      </c>
      <c r="R2503" s="71" t="s">
        <v>65</v>
      </c>
      <c r="S2503" s="75" t="str">
        <f t="shared" si="39"/>
        <v>TN_SEQUATCHIE</v>
      </c>
    </row>
    <row r="2504" spans="17:19" x14ac:dyDescent="0.2">
      <c r="Q2504" s="31" t="s">
        <v>353</v>
      </c>
      <c r="R2504" s="72" t="s">
        <v>65</v>
      </c>
      <c r="S2504" s="75" t="str">
        <f t="shared" si="39"/>
        <v>TN_SEVIER</v>
      </c>
    </row>
    <row r="2505" spans="17:19" x14ac:dyDescent="0.2">
      <c r="Q2505" s="30" t="s">
        <v>255</v>
      </c>
      <c r="R2505" s="71" t="s">
        <v>65</v>
      </c>
      <c r="S2505" s="75" t="str">
        <f t="shared" si="39"/>
        <v>TN_SHELBY</v>
      </c>
    </row>
    <row r="2506" spans="17:19" x14ac:dyDescent="0.2">
      <c r="Q2506" s="31" t="s">
        <v>874</v>
      </c>
      <c r="R2506" s="72" t="s">
        <v>65</v>
      </c>
      <c r="S2506" s="75" t="str">
        <f t="shared" si="39"/>
        <v>TN_SMITH</v>
      </c>
    </row>
    <row r="2507" spans="17:19" x14ac:dyDescent="0.2">
      <c r="Q2507" s="30" t="s">
        <v>617</v>
      </c>
      <c r="R2507" s="71" t="s">
        <v>65</v>
      </c>
      <c r="S2507" s="75" t="str">
        <f t="shared" si="39"/>
        <v>TN_STEWART</v>
      </c>
    </row>
    <row r="2508" spans="17:19" x14ac:dyDescent="0.2">
      <c r="Q2508" s="31" t="s">
        <v>764</v>
      </c>
      <c r="R2508" s="72" t="s">
        <v>65</v>
      </c>
      <c r="S2508" s="75" t="str">
        <f t="shared" si="39"/>
        <v>TN_SULLIVAN</v>
      </c>
    </row>
    <row r="2509" spans="17:19" x14ac:dyDescent="0.2">
      <c r="Q2509" s="30" t="s">
        <v>878</v>
      </c>
      <c r="R2509" s="71" t="s">
        <v>65</v>
      </c>
      <c r="S2509" s="75" t="str">
        <f t="shared" si="39"/>
        <v>TN_SUMNER</v>
      </c>
    </row>
    <row r="2510" spans="17:19" x14ac:dyDescent="0.2">
      <c r="Q2510" s="31" t="s">
        <v>767</v>
      </c>
      <c r="R2510" s="72" t="s">
        <v>65</v>
      </c>
      <c r="S2510" s="75" t="str">
        <f t="shared" si="39"/>
        <v>TN_TIPTON</v>
      </c>
    </row>
    <row r="2511" spans="17:19" x14ac:dyDescent="0.2">
      <c r="Q2511" s="30" t="s">
        <v>1714</v>
      </c>
      <c r="R2511" s="71" t="s">
        <v>65</v>
      </c>
      <c r="S2511" s="75" t="str">
        <f t="shared" si="39"/>
        <v>TN_TROUSDALE</v>
      </c>
    </row>
    <row r="2512" spans="17:19" x14ac:dyDescent="0.2">
      <c r="Q2512" s="31" t="s">
        <v>1715</v>
      </c>
      <c r="R2512" s="72" t="s">
        <v>65</v>
      </c>
      <c r="S2512" s="75" t="str">
        <f t="shared" si="39"/>
        <v>TN_UNICOI</v>
      </c>
    </row>
    <row r="2513" spans="17:19" x14ac:dyDescent="0.2">
      <c r="Q2513" s="30" t="s">
        <v>356</v>
      </c>
      <c r="R2513" s="71" t="s">
        <v>65</v>
      </c>
      <c r="S2513" s="75" t="str">
        <f t="shared" si="39"/>
        <v>TN_UNION</v>
      </c>
    </row>
    <row r="2514" spans="17:19" x14ac:dyDescent="0.2">
      <c r="Q2514" s="31" t="s">
        <v>357</v>
      </c>
      <c r="R2514" s="72" t="s">
        <v>65</v>
      </c>
      <c r="S2514" s="75" t="str">
        <f t="shared" si="39"/>
        <v>TN_VAN BUREN</v>
      </c>
    </row>
    <row r="2515" spans="17:19" x14ac:dyDescent="0.2">
      <c r="Q2515" s="30" t="s">
        <v>633</v>
      </c>
      <c r="R2515" s="71" t="s">
        <v>65</v>
      </c>
      <c r="S2515" s="75" t="str">
        <f t="shared" si="39"/>
        <v>TN_WARREN</v>
      </c>
    </row>
    <row r="2516" spans="17:19" x14ac:dyDescent="0.2">
      <c r="Q2516" s="31" t="s">
        <v>261</v>
      </c>
      <c r="R2516" s="72" t="s">
        <v>65</v>
      </c>
      <c r="S2516" s="75" t="str">
        <f t="shared" si="39"/>
        <v>TN_WASHINGTON</v>
      </c>
    </row>
    <row r="2517" spans="17:19" x14ac:dyDescent="0.2">
      <c r="Q2517" s="30" t="s">
        <v>634</v>
      </c>
      <c r="R2517" s="71" t="s">
        <v>65</v>
      </c>
      <c r="S2517" s="75" t="str">
        <f t="shared" si="39"/>
        <v>TN_WAYNE</v>
      </c>
    </row>
    <row r="2518" spans="17:19" x14ac:dyDescent="0.2">
      <c r="Q2518" s="31" t="s">
        <v>1716</v>
      </c>
      <c r="R2518" s="72" t="s">
        <v>65</v>
      </c>
      <c r="S2518" s="75" t="str">
        <f t="shared" si="39"/>
        <v>TN_WEAKLEY</v>
      </c>
    </row>
    <row r="2519" spans="17:19" x14ac:dyDescent="0.2">
      <c r="Q2519" s="30" t="s">
        <v>358</v>
      </c>
      <c r="R2519" s="71" t="s">
        <v>65</v>
      </c>
      <c r="S2519" s="75" t="str">
        <f t="shared" si="39"/>
        <v>TN_WHITE</v>
      </c>
    </row>
    <row r="2520" spans="17:19" x14ac:dyDescent="0.2">
      <c r="Q2520" s="31" t="s">
        <v>730</v>
      </c>
      <c r="R2520" s="72" t="s">
        <v>65</v>
      </c>
      <c r="S2520" s="75" t="str">
        <f t="shared" si="39"/>
        <v>TN_WILLIAMSON</v>
      </c>
    </row>
    <row r="2521" spans="17:19" x14ac:dyDescent="0.2">
      <c r="Q2521" s="30" t="s">
        <v>883</v>
      </c>
      <c r="R2521" s="71" t="s">
        <v>65</v>
      </c>
      <c r="S2521" s="75" t="str">
        <f t="shared" si="39"/>
        <v>TN_WILSON</v>
      </c>
    </row>
    <row r="2522" spans="17:19" x14ac:dyDescent="0.2">
      <c r="Q2522" s="31" t="s">
        <v>819</v>
      </c>
      <c r="R2522" s="72" t="s">
        <v>64</v>
      </c>
      <c r="S2522" s="75" t="str">
        <f t="shared" si="39"/>
        <v>TX_ANDERSON</v>
      </c>
    </row>
    <row r="2523" spans="17:19" x14ac:dyDescent="0.2">
      <c r="Q2523" s="30" t="s">
        <v>1717</v>
      </c>
      <c r="R2523" s="71" t="s">
        <v>64</v>
      </c>
      <c r="S2523" s="75" t="str">
        <f t="shared" si="39"/>
        <v>TX_ANDREWS</v>
      </c>
    </row>
    <row r="2524" spans="17:19" x14ac:dyDescent="0.2">
      <c r="Q2524" s="31" t="s">
        <v>1718</v>
      </c>
      <c r="R2524" s="72" t="s">
        <v>64</v>
      </c>
      <c r="S2524" s="75" t="str">
        <f t="shared" si="39"/>
        <v>TX_ANGELINA</v>
      </c>
    </row>
    <row r="2525" spans="17:19" x14ac:dyDescent="0.2">
      <c r="Q2525" s="30" t="s">
        <v>1719</v>
      </c>
      <c r="R2525" s="71" t="s">
        <v>64</v>
      </c>
      <c r="S2525" s="75" t="str">
        <f t="shared" si="39"/>
        <v>TX_ARANSAS</v>
      </c>
    </row>
    <row r="2526" spans="17:19" x14ac:dyDescent="0.2">
      <c r="Q2526" s="31" t="s">
        <v>1720</v>
      </c>
      <c r="R2526" s="72" t="s">
        <v>64</v>
      </c>
      <c r="S2526" s="75" t="str">
        <f t="shared" si="39"/>
        <v>TX_ARCHER</v>
      </c>
    </row>
    <row r="2527" spans="17:19" x14ac:dyDescent="0.2">
      <c r="Q2527" s="30" t="s">
        <v>1593</v>
      </c>
      <c r="R2527" s="71" t="s">
        <v>64</v>
      </c>
      <c r="S2527" s="75" t="str">
        <f t="shared" si="39"/>
        <v>TX_ARMSTRONG</v>
      </c>
    </row>
    <row r="2528" spans="17:19" x14ac:dyDescent="0.2">
      <c r="Q2528" s="31" t="s">
        <v>1721</v>
      </c>
      <c r="R2528" s="72" t="s">
        <v>64</v>
      </c>
      <c r="S2528" s="75" t="str">
        <f t="shared" si="39"/>
        <v>TX_ATASCOSA</v>
      </c>
    </row>
    <row r="2529" spans="17:19" x14ac:dyDescent="0.2">
      <c r="Q2529" s="30" t="s">
        <v>1722</v>
      </c>
      <c r="R2529" s="71" t="s">
        <v>64</v>
      </c>
      <c r="S2529" s="75" t="str">
        <f t="shared" si="39"/>
        <v>TX_AUSTIN</v>
      </c>
    </row>
    <row r="2530" spans="17:19" x14ac:dyDescent="0.2">
      <c r="Q2530" s="31" t="s">
        <v>1723</v>
      </c>
      <c r="R2530" s="72" t="s">
        <v>64</v>
      </c>
      <c r="S2530" s="75" t="str">
        <f t="shared" si="39"/>
        <v>TX_BAILEY</v>
      </c>
    </row>
    <row r="2531" spans="17:19" x14ac:dyDescent="0.2">
      <c r="Q2531" s="30" t="s">
        <v>1724</v>
      </c>
      <c r="R2531" s="71" t="s">
        <v>64</v>
      </c>
      <c r="S2531" s="75" t="str">
        <f t="shared" si="39"/>
        <v>TX_BANDERA</v>
      </c>
    </row>
    <row r="2532" spans="17:19" x14ac:dyDescent="0.2">
      <c r="Q2532" s="31" t="s">
        <v>1725</v>
      </c>
      <c r="R2532" s="72" t="s">
        <v>64</v>
      </c>
      <c r="S2532" s="75" t="str">
        <f t="shared" si="39"/>
        <v>TX_BASTROP</v>
      </c>
    </row>
    <row r="2533" spans="17:19" x14ac:dyDescent="0.2">
      <c r="Q2533" s="30" t="s">
        <v>1726</v>
      </c>
      <c r="R2533" s="71" t="s">
        <v>64</v>
      </c>
      <c r="S2533" s="75" t="str">
        <f t="shared" si="39"/>
        <v>TX_BAYLOR</v>
      </c>
    </row>
    <row r="2534" spans="17:19" x14ac:dyDescent="0.2">
      <c r="Q2534" s="31" t="s">
        <v>1727</v>
      </c>
      <c r="R2534" s="72" t="s">
        <v>64</v>
      </c>
      <c r="S2534" s="75" t="str">
        <f t="shared" si="39"/>
        <v>TX_BEE</v>
      </c>
    </row>
    <row r="2535" spans="17:19" x14ac:dyDescent="0.2">
      <c r="Q2535" s="30" t="s">
        <v>889</v>
      </c>
      <c r="R2535" s="71" t="s">
        <v>64</v>
      </c>
      <c r="S2535" s="75" t="str">
        <f t="shared" si="39"/>
        <v>TX_BELL</v>
      </c>
    </row>
    <row r="2536" spans="17:19" x14ac:dyDescent="0.2">
      <c r="Q2536" s="31" t="s">
        <v>1728</v>
      </c>
      <c r="R2536" s="72" t="s">
        <v>64</v>
      </c>
      <c r="S2536" s="75" t="str">
        <f t="shared" si="39"/>
        <v>TX_BEXAR</v>
      </c>
    </row>
    <row r="2537" spans="17:19" x14ac:dyDescent="0.2">
      <c r="Q2537" s="30" t="s">
        <v>1729</v>
      </c>
      <c r="R2537" s="71" t="s">
        <v>64</v>
      </c>
      <c r="S2537" s="75" t="str">
        <f t="shared" si="39"/>
        <v>TX_BLANCO</v>
      </c>
    </row>
    <row r="2538" spans="17:19" x14ac:dyDescent="0.2">
      <c r="Q2538" s="31" t="s">
        <v>1730</v>
      </c>
      <c r="R2538" s="72" t="s">
        <v>64</v>
      </c>
      <c r="S2538" s="75" t="str">
        <f t="shared" si="39"/>
        <v>TX_BORDEN</v>
      </c>
    </row>
    <row r="2539" spans="17:19" x14ac:dyDescent="0.2">
      <c r="Q2539" s="30" t="s">
        <v>1731</v>
      </c>
      <c r="R2539" s="71" t="s">
        <v>64</v>
      </c>
      <c r="S2539" s="75" t="str">
        <f t="shared" si="39"/>
        <v>TX_BOSQUE</v>
      </c>
    </row>
    <row r="2540" spans="17:19" x14ac:dyDescent="0.2">
      <c r="Q2540" s="31" t="s">
        <v>1732</v>
      </c>
      <c r="R2540" s="72" t="s">
        <v>64</v>
      </c>
      <c r="S2540" s="75" t="str">
        <f t="shared" si="39"/>
        <v>TX_BOWIE</v>
      </c>
    </row>
    <row r="2541" spans="17:19" x14ac:dyDescent="0.2">
      <c r="Q2541" s="30" t="s">
        <v>1733</v>
      </c>
      <c r="R2541" s="71" t="s">
        <v>64</v>
      </c>
      <c r="S2541" s="75" t="str">
        <f t="shared" si="39"/>
        <v>TX_BRAZORIA</v>
      </c>
    </row>
    <row r="2542" spans="17:19" x14ac:dyDescent="0.2">
      <c r="Q2542" s="31" t="s">
        <v>1734</v>
      </c>
      <c r="R2542" s="72" t="s">
        <v>64</v>
      </c>
      <c r="S2542" s="75" t="str">
        <f t="shared" si="39"/>
        <v>TX_BRAZOS</v>
      </c>
    </row>
    <row r="2543" spans="17:19" x14ac:dyDescent="0.2">
      <c r="Q2543" s="30" t="s">
        <v>1735</v>
      </c>
      <c r="R2543" s="71" t="s">
        <v>64</v>
      </c>
      <c r="S2543" s="75" t="str">
        <f t="shared" si="39"/>
        <v>TX_BREWSTER</v>
      </c>
    </row>
    <row r="2544" spans="17:19" x14ac:dyDescent="0.2">
      <c r="Q2544" s="31" t="s">
        <v>1736</v>
      </c>
      <c r="R2544" s="72" t="s">
        <v>64</v>
      </c>
      <c r="S2544" s="75" t="str">
        <f t="shared" si="39"/>
        <v>TX_BRISCOE</v>
      </c>
    </row>
    <row r="2545" spans="17:19" x14ac:dyDescent="0.2">
      <c r="Q2545" s="30" t="s">
        <v>543</v>
      </c>
      <c r="R2545" s="71" t="s">
        <v>64</v>
      </c>
      <c r="S2545" s="75" t="str">
        <f t="shared" si="39"/>
        <v>TX_BROOKS</v>
      </c>
    </row>
    <row r="2546" spans="17:19" x14ac:dyDescent="0.2">
      <c r="Q2546" s="31" t="s">
        <v>681</v>
      </c>
      <c r="R2546" s="72" t="s">
        <v>64</v>
      </c>
      <c r="S2546" s="75" t="str">
        <f t="shared" si="39"/>
        <v>TX_BROWN</v>
      </c>
    </row>
    <row r="2547" spans="17:19" x14ac:dyDescent="0.2">
      <c r="Q2547" s="30" t="s">
        <v>1737</v>
      </c>
      <c r="R2547" s="71" t="s">
        <v>64</v>
      </c>
      <c r="S2547" s="75" t="str">
        <f t="shared" si="39"/>
        <v>TX_BURLESON</v>
      </c>
    </row>
    <row r="2548" spans="17:19" x14ac:dyDescent="0.2">
      <c r="Q2548" s="31" t="s">
        <v>1738</v>
      </c>
      <c r="R2548" s="72" t="s">
        <v>64</v>
      </c>
      <c r="S2548" s="75" t="str">
        <f t="shared" si="39"/>
        <v>TX_BURNET</v>
      </c>
    </row>
    <row r="2549" spans="17:19" x14ac:dyDescent="0.2">
      <c r="Q2549" s="30" t="s">
        <v>896</v>
      </c>
      <c r="R2549" s="71" t="s">
        <v>64</v>
      </c>
      <c r="S2549" s="75" t="str">
        <f t="shared" si="39"/>
        <v>TX_CALDWELL</v>
      </c>
    </row>
    <row r="2550" spans="17:19" x14ac:dyDescent="0.2">
      <c r="Q2550" s="31" t="s">
        <v>204</v>
      </c>
      <c r="R2550" s="72" t="s">
        <v>64</v>
      </c>
      <c r="S2550" s="75" t="str">
        <f t="shared" si="39"/>
        <v>TX_CALHOUN</v>
      </c>
    </row>
    <row r="2551" spans="17:19" x14ac:dyDescent="0.2">
      <c r="Q2551" s="30" t="s">
        <v>1739</v>
      </c>
      <c r="R2551" s="71" t="s">
        <v>64</v>
      </c>
      <c r="S2551" s="75" t="str">
        <f t="shared" si="39"/>
        <v>TX_CALLAHAN</v>
      </c>
    </row>
    <row r="2552" spans="17:19" x14ac:dyDescent="0.2">
      <c r="Q2552" s="31" t="s">
        <v>1599</v>
      </c>
      <c r="R2552" s="72" t="s">
        <v>64</v>
      </c>
      <c r="S2552" s="75" t="str">
        <f t="shared" si="39"/>
        <v>TX_CAMERON</v>
      </c>
    </row>
    <row r="2553" spans="17:19" x14ac:dyDescent="0.2">
      <c r="Q2553" s="30" t="s">
        <v>1740</v>
      </c>
      <c r="R2553" s="71" t="s">
        <v>64</v>
      </c>
      <c r="S2553" s="75" t="str">
        <f t="shared" si="39"/>
        <v>TX_CAMP</v>
      </c>
    </row>
    <row r="2554" spans="17:19" x14ac:dyDescent="0.2">
      <c r="Q2554" s="31" t="s">
        <v>1741</v>
      </c>
      <c r="R2554" s="72" t="s">
        <v>64</v>
      </c>
      <c r="S2554" s="75" t="str">
        <f t="shared" si="39"/>
        <v>TX_CARSON</v>
      </c>
    </row>
    <row r="2555" spans="17:19" x14ac:dyDescent="0.2">
      <c r="Q2555" s="30" t="s">
        <v>683</v>
      </c>
      <c r="R2555" s="71" t="s">
        <v>64</v>
      </c>
      <c r="S2555" s="75" t="str">
        <f t="shared" si="39"/>
        <v>TX_CASS</v>
      </c>
    </row>
    <row r="2556" spans="17:19" x14ac:dyDescent="0.2">
      <c r="Q2556" s="31" t="s">
        <v>1742</v>
      </c>
      <c r="R2556" s="72" t="s">
        <v>64</v>
      </c>
      <c r="S2556" s="75" t="str">
        <f t="shared" si="39"/>
        <v>TX_CASTRO</v>
      </c>
    </row>
    <row r="2557" spans="17:19" x14ac:dyDescent="0.2">
      <c r="Q2557" s="30" t="s">
        <v>205</v>
      </c>
      <c r="R2557" s="71" t="s">
        <v>64</v>
      </c>
      <c r="S2557" s="75" t="str">
        <f t="shared" si="39"/>
        <v>TX_CHAMBERS</v>
      </c>
    </row>
    <row r="2558" spans="17:19" x14ac:dyDescent="0.2">
      <c r="Q2558" s="31" t="s">
        <v>206</v>
      </c>
      <c r="R2558" s="72" t="s">
        <v>64</v>
      </c>
      <c r="S2558" s="75" t="str">
        <f t="shared" si="39"/>
        <v>TX_CHEROKEE</v>
      </c>
    </row>
    <row r="2559" spans="17:19" x14ac:dyDescent="0.2">
      <c r="Q2559" s="30" t="s">
        <v>1743</v>
      </c>
      <c r="R2559" s="71" t="s">
        <v>64</v>
      </c>
      <c r="S2559" s="75" t="str">
        <f t="shared" si="39"/>
        <v>TX_CHILDRESS</v>
      </c>
    </row>
    <row r="2560" spans="17:19" x14ac:dyDescent="0.2">
      <c r="Q2560" s="31" t="s">
        <v>210</v>
      </c>
      <c r="R2560" s="72" t="s">
        <v>64</v>
      </c>
      <c r="S2560" s="75" t="str">
        <f t="shared" si="39"/>
        <v>TX_CLAY</v>
      </c>
    </row>
    <row r="2561" spans="17:19" x14ac:dyDescent="0.2">
      <c r="Q2561" s="30" t="s">
        <v>1744</v>
      </c>
      <c r="R2561" s="71" t="s">
        <v>64</v>
      </c>
      <c r="S2561" s="75" t="str">
        <f t="shared" si="39"/>
        <v>TX_COCHRAN</v>
      </c>
    </row>
    <row r="2562" spans="17:19" x14ac:dyDescent="0.2">
      <c r="Q2562" s="31" t="s">
        <v>1745</v>
      </c>
      <c r="R2562" s="72" t="s">
        <v>64</v>
      </c>
      <c r="S2562" s="75" t="str">
        <f t="shared" si="39"/>
        <v>TX_COKE</v>
      </c>
    </row>
    <row r="2563" spans="17:19" x14ac:dyDescent="0.2">
      <c r="Q2563" s="30" t="s">
        <v>1746</v>
      </c>
      <c r="R2563" s="71" t="s">
        <v>64</v>
      </c>
      <c r="S2563" s="75" t="str">
        <f t="shared" si="39"/>
        <v>TX_COLEMAN</v>
      </c>
    </row>
    <row r="2564" spans="17:19" x14ac:dyDescent="0.2">
      <c r="Q2564" s="31" t="s">
        <v>1747</v>
      </c>
      <c r="R2564" s="72" t="s">
        <v>64</v>
      </c>
      <c r="S2564" s="75" t="str">
        <f t="shared" ref="S2564:S2627" si="40">UPPER(CONCATENATE(TRIM(R2564),"_",TRIM(Q2564)))</f>
        <v>TX_COLLIN</v>
      </c>
    </row>
    <row r="2565" spans="17:19" x14ac:dyDescent="0.2">
      <c r="Q2565" s="30" t="s">
        <v>1748</v>
      </c>
      <c r="R2565" s="71" t="s">
        <v>64</v>
      </c>
      <c r="S2565" s="75" t="str">
        <f t="shared" si="40"/>
        <v>TX_COLLINGSWORTH</v>
      </c>
    </row>
    <row r="2566" spans="17:19" x14ac:dyDescent="0.2">
      <c r="Q2566" s="31" t="s">
        <v>1749</v>
      </c>
      <c r="R2566" s="72" t="s">
        <v>64</v>
      </c>
      <c r="S2566" s="75" t="str">
        <f t="shared" si="40"/>
        <v>TX_COLORADO</v>
      </c>
    </row>
    <row r="2567" spans="17:19" x14ac:dyDescent="0.2">
      <c r="Q2567" s="30" t="s">
        <v>1750</v>
      </c>
      <c r="R2567" s="71" t="s">
        <v>64</v>
      </c>
      <c r="S2567" s="75" t="str">
        <f t="shared" si="40"/>
        <v>TX_COMAL</v>
      </c>
    </row>
    <row r="2568" spans="17:19" x14ac:dyDescent="0.2">
      <c r="Q2568" s="31" t="s">
        <v>828</v>
      </c>
      <c r="R2568" s="72" t="s">
        <v>64</v>
      </c>
      <c r="S2568" s="75" t="str">
        <f t="shared" si="40"/>
        <v>TX_COMANCHE</v>
      </c>
    </row>
    <row r="2569" spans="17:19" x14ac:dyDescent="0.2">
      <c r="Q2569" s="30" t="s">
        <v>1751</v>
      </c>
      <c r="R2569" s="71" t="s">
        <v>64</v>
      </c>
      <c r="S2569" s="75" t="str">
        <f t="shared" si="40"/>
        <v>TX_CONCHO</v>
      </c>
    </row>
    <row r="2570" spans="17:19" x14ac:dyDescent="0.2">
      <c r="Q2570" s="31" t="s">
        <v>1752</v>
      </c>
      <c r="R2570" s="72" t="s">
        <v>64</v>
      </c>
      <c r="S2570" s="75" t="str">
        <f t="shared" si="40"/>
        <v>TX_COOKE</v>
      </c>
    </row>
    <row r="2571" spans="17:19" x14ac:dyDescent="0.2">
      <c r="Q2571" s="30" t="s">
        <v>1753</v>
      </c>
      <c r="R2571" s="71" t="s">
        <v>64</v>
      </c>
      <c r="S2571" s="75" t="str">
        <f t="shared" si="40"/>
        <v>TX_CORYELL</v>
      </c>
    </row>
    <row r="2572" spans="17:19" x14ac:dyDescent="0.2">
      <c r="Q2572" s="31" t="s">
        <v>1754</v>
      </c>
      <c r="R2572" s="72" t="s">
        <v>64</v>
      </c>
      <c r="S2572" s="75" t="str">
        <f t="shared" si="40"/>
        <v>TX_COTTLE</v>
      </c>
    </row>
    <row r="2573" spans="17:19" x14ac:dyDescent="0.2">
      <c r="Q2573" s="30" t="s">
        <v>1755</v>
      </c>
      <c r="R2573" s="71" t="s">
        <v>64</v>
      </c>
      <c r="S2573" s="75" t="str">
        <f t="shared" si="40"/>
        <v>TX_CRANE</v>
      </c>
    </row>
    <row r="2574" spans="17:19" x14ac:dyDescent="0.2">
      <c r="Q2574" s="31" t="s">
        <v>1695</v>
      </c>
      <c r="R2574" s="72" t="s">
        <v>64</v>
      </c>
      <c r="S2574" s="75" t="str">
        <f t="shared" si="40"/>
        <v>TX_CROCKETT</v>
      </c>
    </row>
    <row r="2575" spans="17:19" x14ac:dyDescent="0.2">
      <c r="Q2575" s="30" t="s">
        <v>1756</v>
      </c>
      <c r="R2575" s="71" t="s">
        <v>64</v>
      </c>
      <c r="S2575" s="75" t="str">
        <f t="shared" si="40"/>
        <v>TX_CROSBY</v>
      </c>
    </row>
    <row r="2576" spans="17:19" x14ac:dyDescent="0.2">
      <c r="Q2576" s="31" t="s">
        <v>1757</v>
      </c>
      <c r="R2576" s="72" t="s">
        <v>64</v>
      </c>
      <c r="S2576" s="75" t="str">
        <f t="shared" si="40"/>
        <v>TX_CULBERSON</v>
      </c>
    </row>
    <row r="2577" spans="17:19" x14ac:dyDescent="0.2">
      <c r="Q2577" s="30" t="s">
        <v>1758</v>
      </c>
      <c r="R2577" s="71" t="s">
        <v>64</v>
      </c>
      <c r="S2577" s="75" t="str">
        <f t="shared" si="40"/>
        <v>TX_DALLAM</v>
      </c>
    </row>
    <row r="2578" spans="17:19" x14ac:dyDescent="0.2">
      <c r="Q2578" s="31" t="s">
        <v>220</v>
      </c>
      <c r="R2578" s="72" t="s">
        <v>64</v>
      </c>
      <c r="S2578" s="75" t="str">
        <f t="shared" si="40"/>
        <v>TX_DALLAS</v>
      </c>
    </row>
    <row r="2579" spans="17:19" x14ac:dyDescent="0.2">
      <c r="Q2579" s="30" t="s">
        <v>562</v>
      </c>
      <c r="R2579" s="71" t="s">
        <v>64</v>
      </c>
      <c r="S2579" s="75" t="str">
        <f t="shared" si="40"/>
        <v>TX_DAWSON</v>
      </c>
    </row>
    <row r="2580" spans="17:19" x14ac:dyDescent="0.2">
      <c r="Q2580" s="31" t="s">
        <v>1759</v>
      </c>
      <c r="R2580" s="72" t="s">
        <v>64</v>
      </c>
      <c r="S2580" s="75" t="str">
        <f t="shared" si="40"/>
        <v>TX_DEAF SMITH</v>
      </c>
    </row>
    <row r="2581" spans="17:19" x14ac:dyDescent="0.2">
      <c r="Q2581" s="30" t="s">
        <v>431</v>
      </c>
      <c r="R2581" s="71" t="s">
        <v>64</v>
      </c>
      <c r="S2581" s="75" t="str">
        <f t="shared" si="40"/>
        <v>TX_DELTA</v>
      </c>
    </row>
    <row r="2582" spans="17:19" x14ac:dyDescent="0.2">
      <c r="Q2582" s="31" t="s">
        <v>1760</v>
      </c>
      <c r="R2582" s="72" t="s">
        <v>64</v>
      </c>
      <c r="S2582" s="75" t="str">
        <f t="shared" si="40"/>
        <v>TX_DENTON</v>
      </c>
    </row>
    <row r="2583" spans="17:19" x14ac:dyDescent="0.2">
      <c r="Q2583" s="30" t="s">
        <v>1761</v>
      </c>
      <c r="R2583" s="71" t="s">
        <v>64</v>
      </c>
      <c r="S2583" s="75" t="str">
        <f t="shared" si="40"/>
        <v>TX_DEWITT</v>
      </c>
    </row>
    <row r="2584" spans="17:19" x14ac:dyDescent="0.2">
      <c r="Q2584" s="31" t="s">
        <v>1762</v>
      </c>
      <c r="R2584" s="72" t="s">
        <v>64</v>
      </c>
      <c r="S2584" s="75" t="str">
        <f t="shared" si="40"/>
        <v>TX_DICKENS</v>
      </c>
    </row>
    <row r="2585" spans="17:19" x14ac:dyDescent="0.2">
      <c r="Q2585" s="30" t="s">
        <v>1763</v>
      </c>
      <c r="R2585" s="71" t="s">
        <v>64</v>
      </c>
      <c r="S2585" s="75" t="str">
        <f t="shared" si="40"/>
        <v>TX_DIMMIT</v>
      </c>
    </row>
    <row r="2586" spans="17:19" x14ac:dyDescent="0.2">
      <c r="Q2586" s="31" t="s">
        <v>1764</v>
      </c>
      <c r="R2586" s="72" t="s">
        <v>64</v>
      </c>
      <c r="S2586" s="75" t="str">
        <f t="shared" si="40"/>
        <v>TX_DONLEY</v>
      </c>
    </row>
    <row r="2587" spans="17:19" x14ac:dyDescent="0.2">
      <c r="Q2587" s="30" t="s">
        <v>496</v>
      </c>
      <c r="R2587" s="71" t="s">
        <v>64</v>
      </c>
      <c r="S2587" s="75" t="str">
        <f t="shared" si="40"/>
        <v>TX_DUVAL</v>
      </c>
    </row>
    <row r="2588" spans="17:19" x14ac:dyDescent="0.2">
      <c r="Q2588" s="31" t="s">
        <v>1765</v>
      </c>
      <c r="R2588" s="72" t="s">
        <v>64</v>
      </c>
      <c r="S2588" s="75" t="str">
        <f t="shared" si="40"/>
        <v>TX_EASTLAND</v>
      </c>
    </row>
    <row r="2589" spans="17:19" x14ac:dyDescent="0.2">
      <c r="Q2589" s="30" t="s">
        <v>1766</v>
      </c>
      <c r="R2589" s="71" t="s">
        <v>64</v>
      </c>
      <c r="S2589" s="75" t="str">
        <f t="shared" si="40"/>
        <v>TX_ECTOR</v>
      </c>
    </row>
    <row r="2590" spans="17:19" x14ac:dyDescent="0.2">
      <c r="Q2590" s="31" t="s">
        <v>692</v>
      </c>
      <c r="R2590" s="72" t="s">
        <v>64</v>
      </c>
      <c r="S2590" s="75" t="str">
        <f t="shared" si="40"/>
        <v>TX_EDWARDS</v>
      </c>
    </row>
    <row r="2591" spans="17:19" x14ac:dyDescent="0.2">
      <c r="Q2591" s="30" t="s">
        <v>832</v>
      </c>
      <c r="R2591" s="71" t="s">
        <v>64</v>
      </c>
      <c r="S2591" s="75" t="str">
        <f t="shared" si="40"/>
        <v>TX_ELLIS</v>
      </c>
    </row>
    <row r="2592" spans="17:19" x14ac:dyDescent="0.2">
      <c r="Q2592" s="31" t="s">
        <v>437</v>
      </c>
      <c r="R2592" s="72" t="s">
        <v>64</v>
      </c>
      <c r="S2592" s="75" t="str">
        <f t="shared" si="40"/>
        <v>TX_EL PASO</v>
      </c>
    </row>
    <row r="2593" spans="17:19" x14ac:dyDescent="0.2">
      <c r="Q2593" s="30" t="s">
        <v>1767</v>
      </c>
      <c r="R2593" s="71" t="s">
        <v>64</v>
      </c>
      <c r="S2593" s="75" t="str">
        <f t="shared" si="40"/>
        <v>TX_ERATH</v>
      </c>
    </row>
    <row r="2594" spans="17:19" x14ac:dyDescent="0.2">
      <c r="Q2594" s="31" t="s">
        <v>1768</v>
      </c>
      <c r="R2594" s="72" t="s">
        <v>64</v>
      </c>
      <c r="S2594" s="75" t="str">
        <f t="shared" si="40"/>
        <v>TX_FALLS</v>
      </c>
    </row>
    <row r="2595" spans="17:19" x14ac:dyDescent="0.2">
      <c r="Q2595" s="30" t="s">
        <v>573</v>
      </c>
      <c r="R2595" s="71" t="s">
        <v>64</v>
      </c>
      <c r="S2595" s="75" t="str">
        <f t="shared" si="40"/>
        <v>TX_FANNIN</v>
      </c>
    </row>
    <row r="2596" spans="17:19" x14ac:dyDescent="0.2">
      <c r="Q2596" s="31" t="s">
        <v>225</v>
      </c>
      <c r="R2596" s="72" t="s">
        <v>64</v>
      </c>
      <c r="S2596" s="75" t="str">
        <f t="shared" si="40"/>
        <v>TX_FAYETTE</v>
      </c>
    </row>
    <row r="2597" spans="17:19" x14ac:dyDescent="0.2">
      <c r="Q2597" s="30" t="s">
        <v>1769</v>
      </c>
      <c r="R2597" s="71" t="s">
        <v>64</v>
      </c>
      <c r="S2597" s="75" t="str">
        <f t="shared" si="40"/>
        <v>TX_FISHER</v>
      </c>
    </row>
    <row r="2598" spans="17:19" x14ac:dyDescent="0.2">
      <c r="Q2598" s="31" t="s">
        <v>574</v>
      </c>
      <c r="R2598" s="72" t="s">
        <v>64</v>
      </c>
      <c r="S2598" s="75" t="str">
        <f t="shared" si="40"/>
        <v>TX_FLOYD</v>
      </c>
    </row>
    <row r="2599" spans="17:19" x14ac:dyDescent="0.2">
      <c r="Q2599" s="30" t="s">
        <v>1770</v>
      </c>
      <c r="R2599" s="71" t="s">
        <v>64</v>
      </c>
      <c r="S2599" s="75" t="str">
        <f t="shared" si="40"/>
        <v>TX_FOARD</v>
      </c>
    </row>
    <row r="2600" spans="17:19" x14ac:dyDescent="0.2">
      <c r="Q2600" s="31" t="s">
        <v>1771</v>
      </c>
      <c r="R2600" s="72" t="s">
        <v>64</v>
      </c>
      <c r="S2600" s="75" t="str">
        <f t="shared" si="40"/>
        <v>TX_FORT BEND</v>
      </c>
    </row>
    <row r="2601" spans="17:19" x14ac:dyDescent="0.2">
      <c r="Q2601" s="30" t="s">
        <v>226</v>
      </c>
      <c r="R2601" s="71" t="s">
        <v>64</v>
      </c>
      <c r="S2601" s="75" t="str">
        <f t="shared" si="40"/>
        <v>TX_FRANKLIN</v>
      </c>
    </row>
    <row r="2602" spans="17:19" x14ac:dyDescent="0.2">
      <c r="Q2602" s="31" t="s">
        <v>1772</v>
      </c>
      <c r="R2602" s="72" t="s">
        <v>64</v>
      </c>
      <c r="S2602" s="75" t="str">
        <f t="shared" si="40"/>
        <v>TX_FREESTONE</v>
      </c>
    </row>
    <row r="2603" spans="17:19" x14ac:dyDescent="0.2">
      <c r="Q2603" s="30" t="s">
        <v>1773</v>
      </c>
      <c r="R2603" s="71" t="s">
        <v>64</v>
      </c>
      <c r="S2603" s="75" t="str">
        <f t="shared" si="40"/>
        <v>TX_FRIO</v>
      </c>
    </row>
    <row r="2604" spans="17:19" x14ac:dyDescent="0.2">
      <c r="Q2604" s="31" t="s">
        <v>1774</v>
      </c>
      <c r="R2604" s="72" t="s">
        <v>64</v>
      </c>
      <c r="S2604" s="75" t="str">
        <f t="shared" si="40"/>
        <v>TX_GAINES</v>
      </c>
    </row>
    <row r="2605" spans="17:19" x14ac:dyDescent="0.2">
      <c r="Q2605" s="30" t="s">
        <v>1775</v>
      </c>
      <c r="R2605" s="71" t="s">
        <v>64</v>
      </c>
      <c r="S2605" s="75" t="str">
        <f t="shared" si="40"/>
        <v>TX_GALVESTON</v>
      </c>
    </row>
    <row r="2606" spans="17:19" x14ac:dyDescent="0.2">
      <c r="Q2606" s="31" t="s">
        <v>1776</v>
      </c>
      <c r="R2606" s="72" t="s">
        <v>64</v>
      </c>
      <c r="S2606" s="75" t="str">
        <f t="shared" si="40"/>
        <v>TX_GARZA</v>
      </c>
    </row>
    <row r="2607" spans="17:19" x14ac:dyDescent="0.2">
      <c r="Q2607" s="30" t="s">
        <v>1777</v>
      </c>
      <c r="R2607" s="71" t="s">
        <v>64</v>
      </c>
      <c r="S2607" s="75" t="str">
        <f t="shared" si="40"/>
        <v>TX_GILLESPIE</v>
      </c>
    </row>
    <row r="2608" spans="17:19" x14ac:dyDescent="0.2">
      <c r="Q2608" s="31" t="s">
        <v>1778</v>
      </c>
      <c r="R2608" s="72" t="s">
        <v>64</v>
      </c>
      <c r="S2608" s="75" t="str">
        <f t="shared" si="40"/>
        <v>TX_GLASSCOCK</v>
      </c>
    </row>
    <row r="2609" spans="17:19" x14ac:dyDescent="0.2">
      <c r="Q2609" s="30" t="s">
        <v>1779</v>
      </c>
      <c r="R2609" s="71" t="s">
        <v>64</v>
      </c>
      <c r="S2609" s="75" t="str">
        <f t="shared" si="40"/>
        <v>TX_GOLIAD</v>
      </c>
    </row>
    <row r="2610" spans="17:19" x14ac:dyDescent="0.2">
      <c r="Q2610" s="31" t="s">
        <v>1780</v>
      </c>
      <c r="R2610" s="72" t="s">
        <v>64</v>
      </c>
      <c r="S2610" s="75" t="str">
        <f t="shared" si="40"/>
        <v>TX_GONZALES</v>
      </c>
    </row>
    <row r="2611" spans="17:19" x14ac:dyDescent="0.2">
      <c r="Q2611" s="30" t="s">
        <v>837</v>
      </c>
      <c r="R2611" s="71" t="s">
        <v>64</v>
      </c>
      <c r="S2611" s="75" t="str">
        <f t="shared" si="40"/>
        <v>TX_GRAY</v>
      </c>
    </row>
    <row r="2612" spans="17:19" x14ac:dyDescent="0.2">
      <c r="Q2612" s="31" t="s">
        <v>908</v>
      </c>
      <c r="R2612" s="72" t="s">
        <v>64</v>
      </c>
      <c r="S2612" s="75" t="str">
        <f t="shared" si="40"/>
        <v>TX_GRAYSON</v>
      </c>
    </row>
    <row r="2613" spans="17:19" x14ac:dyDescent="0.2">
      <c r="Q2613" s="30" t="s">
        <v>1781</v>
      </c>
      <c r="R2613" s="71" t="s">
        <v>64</v>
      </c>
      <c r="S2613" s="75" t="str">
        <f t="shared" si="40"/>
        <v>TX_GREGG</v>
      </c>
    </row>
    <row r="2614" spans="17:19" x14ac:dyDescent="0.2">
      <c r="Q2614" s="31" t="s">
        <v>1782</v>
      </c>
      <c r="R2614" s="72" t="s">
        <v>64</v>
      </c>
      <c r="S2614" s="75" t="str">
        <f t="shared" si="40"/>
        <v>TX_GRIMES</v>
      </c>
    </row>
    <row r="2615" spans="17:19" x14ac:dyDescent="0.2">
      <c r="Q2615" s="30" t="s">
        <v>1357</v>
      </c>
      <c r="R2615" s="71" t="s">
        <v>64</v>
      </c>
      <c r="S2615" s="75" t="str">
        <f t="shared" si="40"/>
        <v>TX_GUADALUPE</v>
      </c>
    </row>
    <row r="2616" spans="17:19" x14ac:dyDescent="0.2">
      <c r="Q2616" s="31" t="s">
        <v>229</v>
      </c>
      <c r="R2616" s="72" t="s">
        <v>64</v>
      </c>
      <c r="S2616" s="75" t="str">
        <f t="shared" si="40"/>
        <v>TX_HALE</v>
      </c>
    </row>
    <row r="2617" spans="17:19" x14ac:dyDescent="0.2">
      <c r="Q2617" s="30" t="s">
        <v>583</v>
      </c>
      <c r="R2617" s="71" t="s">
        <v>64</v>
      </c>
      <c r="S2617" s="75" t="str">
        <f t="shared" si="40"/>
        <v>TX_HALL</v>
      </c>
    </row>
    <row r="2618" spans="17:19" x14ac:dyDescent="0.2">
      <c r="Q2618" s="31" t="s">
        <v>502</v>
      </c>
      <c r="R2618" s="72" t="s">
        <v>64</v>
      </c>
      <c r="S2618" s="75" t="str">
        <f t="shared" si="40"/>
        <v>TX_HAMILTON</v>
      </c>
    </row>
    <row r="2619" spans="17:19" x14ac:dyDescent="0.2">
      <c r="Q2619" s="30" t="s">
        <v>1783</v>
      </c>
      <c r="R2619" s="71" t="s">
        <v>64</v>
      </c>
      <c r="S2619" s="75" t="str">
        <f t="shared" si="40"/>
        <v>TX_HANSFORD</v>
      </c>
    </row>
    <row r="2620" spans="17:19" x14ac:dyDescent="0.2">
      <c r="Q2620" s="31" t="s">
        <v>1702</v>
      </c>
      <c r="R2620" s="72" t="s">
        <v>64</v>
      </c>
      <c r="S2620" s="75" t="str">
        <f t="shared" si="40"/>
        <v>TX_HARDEMAN</v>
      </c>
    </row>
    <row r="2621" spans="17:19" x14ac:dyDescent="0.2">
      <c r="Q2621" s="30" t="s">
        <v>696</v>
      </c>
      <c r="R2621" s="71" t="s">
        <v>64</v>
      </c>
      <c r="S2621" s="75" t="str">
        <f t="shared" si="40"/>
        <v>TX_HARDIN</v>
      </c>
    </row>
    <row r="2622" spans="17:19" x14ac:dyDescent="0.2">
      <c r="Q2622" s="31" t="s">
        <v>586</v>
      </c>
      <c r="R2622" s="72" t="s">
        <v>64</v>
      </c>
      <c r="S2622" s="75" t="str">
        <f t="shared" si="40"/>
        <v>TX_HARRIS</v>
      </c>
    </row>
    <row r="2623" spans="17:19" x14ac:dyDescent="0.2">
      <c r="Q2623" s="30" t="s">
        <v>743</v>
      </c>
      <c r="R2623" s="71" t="s">
        <v>64</v>
      </c>
      <c r="S2623" s="75" t="str">
        <f t="shared" si="40"/>
        <v>TX_HARRISON</v>
      </c>
    </row>
    <row r="2624" spans="17:19" x14ac:dyDescent="0.2">
      <c r="Q2624" s="31" t="s">
        <v>1784</v>
      </c>
      <c r="R2624" s="72" t="s">
        <v>64</v>
      </c>
      <c r="S2624" s="75" t="str">
        <f t="shared" si="40"/>
        <v>TX_HARTLEY</v>
      </c>
    </row>
    <row r="2625" spans="17:19" x14ac:dyDescent="0.2">
      <c r="Q2625" s="30" t="s">
        <v>842</v>
      </c>
      <c r="R2625" s="71" t="s">
        <v>64</v>
      </c>
      <c r="S2625" s="75" t="str">
        <f t="shared" si="40"/>
        <v>TX_HASKELL</v>
      </c>
    </row>
    <row r="2626" spans="17:19" x14ac:dyDescent="0.2">
      <c r="Q2626" s="31" t="s">
        <v>1785</v>
      </c>
      <c r="R2626" s="72" t="s">
        <v>64</v>
      </c>
      <c r="S2626" s="75" t="str">
        <f t="shared" si="40"/>
        <v>TX_HAYS</v>
      </c>
    </row>
    <row r="2627" spans="17:19" x14ac:dyDescent="0.2">
      <c r="Q2627" s="30" t="s">
        <v>1786</v>
      </c>
      <c r="R2627" s="71" t="s">
        <v>64</v>
      </c>
      <c r="S2627" s="75" t="str">
        <f t="shared" si="40"/>
        <v>TX_HEMPHILL</v>
      </c>
    </row>
    <row r="2628" spans="17:19" x14ac:dyDescent="0.2">
      <c r="Q2628" s="31" t="s">
        <v>697</v>
      </c>
      <c r="R2628" s="72" t="s">
        <v>64</v>
      </c>
      <c r="S2628" s="75" t="str">
        <f t="shared" ref="S2628:S2691" si="41">UPPER(CONCATENATE(TRIM(R2628),"_",TRIM(Q2628)))</f>
        <v>TX_HENDERSON</v>
      </c>
    </row>
    <row r="2629" spans="17:19" x14ac:dyDescent="0.2">
      <c r="Q2629" s="30" t="s">
        <v>1359</v>
      </c>
      <c r="R2629" s="71" t="s">
        <v>64</v>
      </c>
      <c r="S2629" s="75" t="str">
        <f t="shared" si="41"/>
        <v>TX_HIDALGO</v>
      </c>
    </row>
    <row r="2630" spans="17:19" x14ac:dyDescent="0.2">
      <c r="Q2630" s="31" t="s">
        <v>1257</v>
      </c>
      <c r="R2630" s="72" t="s">
        <v>64</v>
      </c>
      <c r="S2630" s="75" t="str">
        <f t="shared" si="41"/>
        <v>TX_HILL</v>
      </c>
    </row>
    <row r="2631" spans="17:19" x14ac:dyDescent="0.2">
      <c r="Q2631" s="30" t="s">
        <v>1787</v>
      </c>
      <c r="R2631" s="71" t="s">
        <v>64</v>
      </c>
      <c r="S2631" s="75" t="str">
        <f t="shared" si="41"/>
        <v>TX_HOCKLEY</v>
      </c>
    </row>
    <row r="2632" spans="17:19" x14ac:dyDescent="0.2">
      <c r="Q2632" s="31" t="s">
        <v>1788</v>
      </c>
      <c r="R2632" s="72" t="s">
        <v>64</v>
      </c>
      <c r="S2632" s="75" t="str">
        <f t="shared" si="41"/>
        <v>TX_HOOD</v>
      </c>
    </row>
    <row r="2633" spans="17:19" x14ac:dyDescent="0.2">
      <c r="Q2633" s="30" t="s">
        <v>913</v>
      </c>
      <c r="R2633" s="71" t="s">
        <v>64</v>
      </c>
      <c r="S2633" s="75" t="str">
        <f t="shared" si="41"/>
        <v>TX_HOPKINS</v>
      </c>
    </row>
    <row r="2634" spans="17:19" x14ac:dyDescent="0.2">
      <c r="Q2634" s="31" t="s">
        <v>231</v>
      </c>
      <c r="R2634" s="72" t="s">
        <v>64</v>
      </c>
      <c r="S2634" s="75" t="str">
        <f t="shared" si="41"/>
        <v>TX_HOUSTON</v>
      </c>
    </row>
    <row r="2635" spans="17:19" x14ac:dyDescent="0.2">
      <c r="Q2635" s="30" t="s">
        <v>328</v>
      </c>
      <c r="R2635" s="71" t="s">
        <v>64</v>
      </c>
      <c r="S2635" s="75" t="str">
        <f t="shared" si="41"/>
        <v>TX_HOWARD</v>
      </c>
    </row>
    <row r="2636" spans="17:19" x14ac:dyDescent="0.2">
      <c r="Q2636" s="31" t="s">
        <v>1789</v>
      </c>
      <c r="R2636" s="72" t="s">
        <v>64</v>
      </c>
      <c r="S2636" s="75" t="str">
        <f t="shared" si="41"/>
        <v>TX_HUDSPETH</v>
      </c>
    </row>
    <row r="2637" spans="17:19" x14ac:dyDescent="0.2">
      <c r="Q2637" s="30" t="s">
        <v>1790</v>
      </c>
      <c r="R2637" s="71" t="s">
        <v>64</v>
      </c>
      <c r="S2637" s="75" t="str">
        <f t="shared" si="41"/>
        <v>TX_HUNT</v>
      </c>
    </row>
    <row r="2638" spans="17:19" x14ac:dyDescent="0.2">
      <c r="Q2638" s="31" t="s">
        <v>1673</v>
      </c>
      <c r="R2638" s="72" t="s">
        <v>64</v>
      </c>
      <c r="S2638" s="75" t="str">
        <f t="shared" si="41"/>
        <v>TX_HUTCHINSON</v>
      </c>
    </row>
    <row r="2639" spans="17:19" x14ac:dyDescent="0.2">
      <c r="Q2639" s="30" t="s">
        <v>1791</v>
      </c>
      <c r="R2639" s="71" t="s">
        <v>64</v>
      </c>
      <c r="S2639" s="75" t="str">
        <f t="shared" si="41"/>
        <v>TX_IRION</v>
      </c>
    </row>
    <row r="2640" spans="17:19" x14ac:dyDescent="0.2">
      <c r="Q2640" s="31" t="s">
        <v>1792</v>
      </c>
      <c r="R2640" s="72" t="s">
        <v>64</v>
      </c>
      <c r="S2640" s="75" t="str">
        <f t="shared" si="41"/>
        <v>TX_JACK</v>
      </c>
    </row>
    <row r="2641" spans="17:19" x14ac:dyDescent="0.2">
      <c r="Q2641" s="30" t="s">
        <v>232</v>
      </c>
      <c r="R2641" s="71" t="s">
        <v>64</v>
      </c>
      <c r="S2641" s="75" t="str">
        <f t="shared" si="41"/>
        <v>TX_JACKSON</v>
      </c>
    </row>
    <row r="2642" spans="17:19" x14ac:dyDescent="0.2">
      <c r="Q2642" s="31" t="s">
        <v>590</v>
      </c>
      <c r="R2642" s="72" t="s">
        <v>64</v>
      </c>
      <c r="S2642" s="75" t="str">
        <f t="shared" si="41"/>
        <v>TX_JASPER</v>
      </c>
    </row>
    <row r="2643" spans="17:19" x14ac:dyDescent="0.2">
      <c r="Q2643" s="30" t="s">
        <v>591</v>
      </c>
      <c r="R2643" s="71" t="s">
        <v>64</v>
      </c>
      <c r="S2643" s="75" t="str">
        <f t="shared" si="41"/>
        <v>TX_JEFF DAVIS</v>
      </c>
    </row>
    <row r="2644" spans="17:19" x14ac:dyDescent="0.2">
      <c r="Q2644" s="31" t="s">
        <v>233</v>
      </c>
      <c r="R2644" s="72" t="s">
        <v>64</v>
      </c>
      <c r="S2644" s="75" t="str">
        <f t="shared" si="41"/>
        <v>TX_JEFFERSON</v>
      </c>
    </row>
    <row r="2645" spans="17:19" x14ac:dyDescent="0.2">
      <c r="Q2645" s="30" t="s">
        <v>1793</v>
      </c>
      <c r="R2645" s="71" t="s">
        <v>64</v>
      </c>
      <c r="S2645" s="75" t="str">
        <f t="shared" si="41"/>
        <v>TX_JIM HOGG</v>
      </c>
    </row>
    <row r="2646" spans="17:19" x14ac:dyDescent="0.2">
      <c r="Q2646" s="31" t="s">
        <v>1794</v>
      </c>
      <c r="R2646" s="72" t="s">
        <v>64</v>
      </c>
      <c r="S2646" s="75" t="str">
        <f t="shared" si="41"/>
        <v>TX_JIM WELLS</v>
      </c>
    </row>
    <row r="2647" spans="17:19" x14ac:dyDescent="0.2">
      <c r="Q2647" s="30" t="s">
        <v>331</v>
      </c>
      <c r="R2647" s="71" t="s">
        <v>64</v>
      </c>
      <c r="S2647" s="75" t="str">
        <f t="shared" si="41"/>
        <v>TX_JOHNSON</v>
      </c>
    </row>
    <row r="2648" spans="17:19" x14ac:dyDescent="0.2">
      <c r="Q2648" s="31" t="s">
        <v>593</v>
      </c>
      <c r="R2648" s="72" t="s">
        <v>64</v>
      </c>
      <c r="S2648" s="75" t="str">
        <f t="shared" si="41"/>
        <v>TX_JONES</v>
      </c>
    </row>
    <row r="2649" spans="17:19" x14ac:dyDescent="0.2">
      <c r="Q2649" s="30" t="s">
        <v>1795</v>
      </c>
      <c r="R2649" s="71" t="s">
        <v>64</v>
      </c>
      <c r="S2649" s="75" t="str">
        <f t="shared" si="41"/>
        <v>TX_KARNES</v>
      </c>
    </row>
    <row r="2650" spans="17:19" x14ac:dyDescent="0.2">
      <c r="Q2650" s="31" t="s">
        <v>1796</v>
      </c>
      <c r="R2650" s="72" t="s">
        <v>64</v>
      </c>
      <c r="S2650" s="75" t="str">
        <f t="shared" si="41"/>
        <v>TX_KAUFMAN</v>
      </c>
    </row>
    <row r="2651" spans="17:19" x14ac:dyDescent="0.2">
      <c r="Q2651" s="30" t="s">
        <v>703</v>
      </c>
      <c r="R2651" s="71" t="s">
        <v>64</v>
      </c>
      <c r="S2651" s="75" t="str">
        <f t="shared" si="41"/>
        <v>TX_KENDALL</v>
      </c>
    </row>
    <row r="2652" spans="17:19" x14ac:dyDescent="0.2">
      <c r="Q2652" s="31" t="s">
        <v>1797</v>
      </c>
      <c r="R2652" s="72" t="s">
        <v>64</v>
      </c>
      <c r="S2652" s="75" t="str">
        <f t="shared" si="41"/>
        <v>TX_KENEDY</v>
      </c>
    </row>
    <row r="2653" spans="17:19" x14ac:dyDescent="0.2">
      <c r="Q2653" s="30" t="s">
        <v>479</v>
      </c>
      <c r="R2653" s="71" t="s">
        <v>64</v>
      </c>
      <c r="S2653" s="75" t="str">
        <f t="shared" si="41"/>
        <v>TX_KENT</v>
      </c>
    </row>
    <row r="2654" spans="17:19" x14ac:dyDescent="0.2">
      <c r="Q2654" s="31" t="s">
        <v>1798</v>
      </c>
      <c r="R2654" s="72" t="s">
        <v>64</v>
      </c>
      <c r="S2654" s="75" t="str">
        <f t="shared" si="41"/>
        <v>TX_KERR</v>
      </c>
    </row>
    <row r="2655" spans="17:19" x14ac:dyDescent="0.2">
      <c r="Q2655" s="30" t="s">
        <v>1799</v>
      </c>
      <c r="R2655" s="71" t="s">
        <v>64</v>
      </c>
      <c r="S2655" s="75" t="str">
        <f t="shared" si="41"/>
        <v>TX_KIMBLE</v>
      </c>
    </row>
    <row r="2656" spans="17:19" x14ac:dyDescent="0.2">
      <c r="Q2656" s="31" t="s">
        <v>1800</v>
      </c>
      <c r="R2656" s="72" t="s">
        <v>64</v>
      </c>
      <c r="S2656" s="75" t="str">
        <f t="shared" si="41"/>
        <v>TX_KING</v>
      </c>
    </row>
    <row r="2657" spans="17:19" x14ac:dyDescent="0.2">
      <c r="Q2657" s="30" t="s">
        <v>1801</v>
      </c>
      <c r="R2657" s="71" t="s">
        <v>64</v>
      </c>
      <c r="S2657" s="75" t="str">
        <f t="shared" si="41"/>
        <v>TX_KINNEY</v>
      </c>
    </row>
    <row r="2658" spans="17:19" x14ac:dyDescent="0.2">
      <c r="Q2658" s="31" t="s">
        <v>1802</v>
      </c>
      <c r="R2658" s="72" t="s">
        <v>64</v>
      </c>
      <c r="S2658" s="75" t="str">
        <f t="shared" si="41"/>
        <v>TX_KLEBERG</v>
      </c>
    </row>
    <row r="2659" spans="17:19" x14ac:dyDescent="0.2">
      <c r="Q2659" s="30" t="s">
        <v>704</v>
      </c>
      <c r="R2659" s="71" t="s">
        <v>64</v>
      </c>
      <c r="S2659" s="75" t="str">
        <f t="shared" si="41"/>
        <v>TX_KNOX</v>
      </c>
    </row>
    <row r="2660" spans="17:19" x14ac:dyDescent="0.2">
      <c r="Q2660" s="31" t="s">
        <v>234</v>
      </c>
      <c r="R2660" s="72" t="s">
        <v>64</v>
      </c>
      <c r="S2660" s="75" t="str">
        <f t="shared" si="41"/>
        <v>TX_LAMAR</v>
      </c>
    </row>
    <row r="2661" spans="17:19" x14ac:dyDescent="0.2">
      <c r="Q2661" s="30" t="s">
        <v>1803</v>
      </c>
      <c r="R2661" s="71" t="s">
        <v>64</v>
      </c>
      <c r="S2661" s="75" t="str">
        <f t="shared" si="41"/>
        <v>TX_LAMB</v>
      </c>
    </row>
    <row r="2662" spans="17:19" x14ac:dyDescent="0.2">
      <c r="Q2662" s="31" t="s">
        <v>1804</v>
      </c>
      <c r="R2662" s="72" t="s">
        <v>64</v>
      </c>
      <c r="S2662" s="75" t="str">
        <f t="shared" si="41"/>
        <v>TX_LAMPASAS</v>
      </c>
    </row>
    <row r="2663" spans="17:19" x14ac:dyDescent="0.2">
      <c r="Q2663" s="30" t="s">
        <v>705</v>
      </c>
      <c r="R2663" s="71" t="s">
        <v>64</v>
      </c>
      <c r="S2663" s="75" t="str">
        <f t="shared" si="41"/>
        <v>TX_LA SALLE</v>
      </c>
    </row>
    <row r="2664" spans="17:19" x14ac:dyDescent="0.2">
      <c r="Q2664" s="31" t="s">
        <v>1805</v>
      </c>
      <c r="R2664" s="72" t="s">
        <v>64</v>
      </c>
      <c r="S2664" s="75" t="str">
        <f t="shared" si="41"/>
        <v>TX_LAVACA</v>
      </c>
    </row>
    <row r="2665" spans="17:19" x14ac:dyDescent="0.2">
      <c r="Q2665" s="30" t="s">
        <v>237</v>
      </c>
      <c r="R2665" s="71" t="s">
        <v>64</v>
      </c>
      <c r="S2665" s="75" t="str">
        <f t="shared" si="41"/>
        <v>TX_LEE</v>
      </c>
    </row>
    <row r="2666" spans="17:19" x14ac:dyDescent="0.2">
      <c r="Q2666" s="31" t="s">
        <v>510</v>
      </c>
      <c r="R2666" s="72" t="s">
        <v>64</v>
      </c>
      <c r="S2666" s="75" t="str">
        <f t="shared" si="41"/>
        <v>TX_LEON</v>
      </c>
    </row>
    <row r="2667" spans="17:19" x14ac:dyDescent="0.2">
      <c r="Q2667" s="30" t="s">
        <v>512</v>
      </c>
      <c r="R2667" s="71" t="s">
        <v>64</v>
      </c>
      <c r="S2667" s="75" t="str">
        <f t="shared" si="41"/>
        <v>TX_LIBERTY</v>
      </c>
    </row>
    <row r="2668" spans="17:19" x14ac:dyDescent="0.2">
      <c r="Q2668" s="31" t="s">
        <v>238</v>
      </c>
      <c r="R2668" s="72" t="s">
        <v>64</v>
      </c>
      <c r="S2668" s="75" t="str">
        <f t="shared" si="41"/>
        <v>TX_LIMESTONE</v>
      </c>
    </row>
    <row r="2669" spans="17:19" x14ac:dyDescent="0.2">
      <c r="Q2669" s="30" t="s">
        <v>1806</v>
      </c>
      <c r="R2669" s="71" t="s">
        <v>64</v>
      </c>
      <c r="S2669" s="75" t="str">
        <f t="shared" si="41"/>
        <v>TX_LIPSCOMB</v>
      </c>
    </row>
    <row r="2670" spans="17:19" x14ac:dyDescent="0.2">
      <c r="Q2670" s="31" t="s">
        <v>1807</v>
      </c>
      <c r="R2670" s="72" t="s">
        <v>64</v>
      </c>
      <c r="S2670" s="75" t="str">
        <f t="shared" si="41"/>
        <v>TX_LIVE OAK</v>
      </c>
    </row>
    <row r="2671" spans="17:19" x14ac:dyDescent="0.2">
      <c r="Q2671" s="30" t="s">
        <v>1808</v>
      </c>
      <c r="R2671" s="71" t="s">
        <v>64</v>
      </c>
      <c r="S2671" s="75" t="str">
        <f t="shared" si="41"/>
        <v>TX_LLANO</v>
      </c>
    </row>
    <row r="2672" spans="17:19" x14ac:dyDescent="0.2">
      <c r="Q2672" s="31" t="s">
        <v>1809</v>
      </c>
      <c r="R2672" s="72" t="s">
        <v>64</v>
      </c>
      <c r="S2672" s="75" t="str">
        <f t="shared" si="41"/>
        <v>TX_LOVING</v>
      </c>
    </row>
    <row r="2673" spans="17:19" x14ac:dyDescent="0.2">
      <c r="Q2673" s="30" t="s">
        <v>1810</v>
      </c>
      <c r="R2673" s="71" t="s">
        <v>64</v>
      </c>
      <c r="S2673" s="75" t="str">
        <f t="shared" si="41"/>
        <v>TX_LUBBOCK</v>
      </c>
    </row>
    <row r="2674" spans="17:19" x14ac:dyDescent="0.2">
      <c r="Q2674" s="31" t="s">
        <v>1811</v>
      </c>
      <c r="R2674" s="72" t="s">
        <v>64</v>
      </c>
      <c r="S2674" s="75" t="str">
        <f t="shared" si="41"/>
        <v>TX_LYNN</v>
      </c>
    </row>
    <row r="2675" spans="17:19" x14ac:dyDescent="0.2">
      <c r="Q2675" s="30" t="s">
        <v>1812</v>
      </c>
      <c r="R2675" s="71" t="s">
        <v>64</v>
      </c>
      <c r="S2675" s="75" t="str">
        <f t="shared" si="41"/>
        <v>TX_MCCULLOCH</v>
      </c>
    </row>
    <row r="2676" spans="17:19" x14ac:dyDescent="0.2">
      <c r="Q2676" s="31" t="s">
        <v>1813</v>
      </c>
      <c r="R2676" s="72" t="s">
        <v>64</v>
      </c>
      <c r="S2676" s="75" t="str">
        <f t="shared" si="41"/>
        <v>TX_MCLENNAN</v>
      </c>
    </row>
    <row r="2677" spans="17:19" x14ac:dyDescent="0.2">
      <c r="Q2677" s="30" t="s">
        <v>1814</v>
      </c>
      <c r="R2677" s="71" t="s">
        <v>64</v>
      </c>
      <c r="S2677" s="75" t="str">
        <f t="shared" si="41"/>
        <v>TX_MCMULLEN</v>
      </c>
    </row>
    <row r="2678" spans="17:19" x14ac:dyDescent="0.2">
      <c r="Q2678" s="31" t="s">
        <v>241</v>
      </c>
      <c r="R2678" s="72" t="s">
        <v>64</v>
      </c>
      <c r="S2678" s="75" t="str">
        <f t="shared" si="41"/>
        <v>TX_MADISON</v>
      </c>
    </row>
    <row r="2679" spans="17:19" x14ac:dyDescent="0.2">
      <c r="Q2679" s="30" t="s">
        <v>243</v>
      </c>
      <c r="R2679" s="71" t="s">
        <v>64</v>
      </c>
      <c r="S2679" s="75" t="str">
        <f t="shared" si="41"/>
        <v>TX_MARION</v>
      </c>
    </row>
    <row r="2680" spans="17:19" x14ac:dyDescent="0.2">
      <c r="Q2680" s="31" t="s">
        <v>514</v>
      </c>
      <c r="R2680" s="72" t="s">
        <v>64</v>
      </c>
      <c r="S2680" s="75" t="str">
        <f t="shared" si="41"/>
        <v>TX_MARTIN</v>
      </c>
    </row>
    <row r="2681" spans="17:19" x14ac:dyDescent="0.2">
      <c r="Q2681" s="30" t="s">
        <v>711</v>
      </c>
      <c r="R2681" s="71" t="s">
        <v>64</v>
      </c>
      <c r="S2681" s="75" t="str">
        <f t="shared" si="41"/>
        <v>TX_MASON</v>
      </c>
    </row>
    <row r="2682" spans="17:19" x14ac:dyDescent="0.2">
      <c r="Q2682" s="31" t="s">
        <v>1815</v>
      </c>
      <c r="R2682" s="72" t="s">
        <v>64</v>
      </c>
      <c r="S2682" s="75" t="str">
        <f t="shared" si="41"/>
        <v>TX_MATAGORDA</v>
      </c>
    </row>
    <row r="2683" spans="17:19" x14ac:dyDescent="0.2">
      <c r="Q2683" s="30" t="s">
        <v>1816</v>
      </c>
      <c r="R2683" s="71" t="s">
        <v>64</v>
      </c>
      <c r="S2683" s="75" t="str">
        <f t="shared" si="41"/>
        <v>TX_MAVERICK</v>
      </c>
    </row>
    <row r="2684" spans="17:19" x14ac:dyDescent="0.2">
      <c r="Q2684" s="31" t="s">
        <v>1518</v>
      </c>
      <c r="R2684" s="72" t="s">
        <v>64</v>
      </c>
      <c r="S2684" s="75" t="str">
        <f t="shared" si="41"/>
        <v>TX_MEDINA</v>
      </c>
    </row>
    <row r="2685" spans="17:19" x14ac:dyDescent="0.2">
      <c r="Q2685" s="30" t="s">
        <v>713</v>
      </c>
      <c r="R2685" s="71" t="s">
        <v>64</v>
      </c>
      <c r="S2685" s="75" t="str">
        <f t="shared" si="41"/>
        <v>TX_MENARD</v>
      </c>
    </row>
    <row r="2686" spans="17:19" x14ac:dyDescent="0.2">
      <c r="Q2686" s="31" t="s">
        <v>1083</v>
      </c>
      <c r="R2686" s="72" t="s">
        <v>64</v>
      </c>
      <c r="S2686" s="75" t="str">
        <f t="shared" si="41"/>
        <v>TX_MIDLAND</v>
      </c>
    </row>
    <row r="2687" spans="17:19" x14ac:dyDescent="0.2">
      <c r="Q2687" s="30" t="s">
        <v>1817</v>
      </c>
      <c r="R2687" s="71" t="s">
        <v>64</v>
      </c>
      <c r="S2687" s="75" t="str">
        <f t="shared" si="41"/>
        <v>TX_MILAM</v>
      </c>
    </row>
    <row r="2688" spans="17:19" x14ac:dyDescent="0.2">
      <c r="Q2688" s="31" t="s">
        <v>800</v>
      </c>
      <c r="R2688" s="72" t="s">
        <v>64</v>
      </c>
      <c r="S2688" s="75" t="str">
        <f t="shared" si="41"/>
        <v>TX_MILLS</v>
      </c>
    </row>
    <row r="2689" spans="17:19" x14ac:dyDescent="0.2">
      <c r="Q2689" s="30" t="s">
        <v>601</v>
      </c>
      <c r="R2689" s="71" t="s">
        <v>64</v>
      </c>
      <c r="S2689" s="75" t="str">
        <f t="shared" si="41"/>
        <v>TX_MITCHELL</v>
      </c>
    </row>
    <row r="2690" spans="17:19" x14ac:dyDescent="0.2">
      <c r="Q2690" s="31" t="s">
        <v>1818</v>
      </c>
      <c r="R2690" s="72" t="s">
        <v>64</v>
      </c>
      <c r="S2690" s="75" t="str">
        <f t="shared" si="41"/>
        <v>TX_MONTAGUE</v>
      </c>
    </row>
    <row r="2691" spans="17:19" x14ac:dyDescent="0.2">
      <c r="Q2691" s="30" t="s">
        <v>247</v>
      </c>
      <c r="R2691" s="71" t="s">
        <v>64</v>
      </c>
      <c r="S2691" s="75" t="str">
        <f t="shared" si="41"/>
        <v>TX_MONTGOMERY</v>
      </c>
    </row>
    <row r="2692" spans="17:19" x14ac:dyDescent="0.2">
      <c r="Q2692" s="31" t="s">
        <v>1443</v>
      </c>
      <c r="R2692" s="72" t="s">
        <v>64</v>
      </c>
      <c r="S2692" s="75" t="str">
        <f t="shared" ref="S2692:S2755" si="42">UPPER(CONCATENATE(TRIM(R2692),"_",TRIM(Q2692)))</f>
        <v>TX_MOORE</v>
      </c>
    </row>
    <row r="2693" spans="17:19" x14ac:dyDescent="0.2">
      <c r="Q2693" s="30" t="s">
        <v>852</v>
      </c>
      <c r="R2693" s="71" t="s">
        <v>64</v>
      </c>
      <c r="S2693" s="75" t="str">
        <f t="shared" si="42"/>
        <v>TX_MORRIS</v>
      </c>
    </row>
    <row r="2694" spans="17:19" x14ac:dyDescent="0.2">
      <c r="Q2694" s="31" t="s">
        <v>1819</v>
      </c>
      <c r="R2694" s="72" t="s">
        <v>64</v>
      </c>
      <c r="S2694" s="75" t="str">
        <f t="shared" si="42"/>
        <v>TX_MOTLEY</v>
      </c>
    </row>
    <row r="2695" spans="17:19" x14ac:dyDescent="0.2">
      <c r="Q2695" s="30" t="s">
        <v>1820</v>
      </c>
      <c r="R2695" s="71" t="s">
        <v>64</v>
      </c>
      <c r="S2695" s="75" t="str">
        <f t="shared" si="42"/>
        <v>TX_NACOGDOCHES</v>
      </c>
    </row>
    <row r="2696" spans="17:19" x14ac:dyDescent="0.2">
      <c r="Q2696" s="31" t="s">
        <v>1821</v>
      </c>
      <c r="R2696" s="72" t="s">
        <v>64</v>
      </c>
      <c r="S2696" s="75" t="str">
        <f t="shared" si="42"/>
        <v>TX_NAVARRO</v>
      </c>
    </row>
    <row r="2697" spans="17:19" x14ac:dyDescent="0.2">
      <c r="Q2697" s="30" t="s">
        <v>340</v>
      </c>
      <c r="R2697" s="71" t="s">
        <v>64</v>
      </c>
      <c r="S2697" s="75" t="str">
        <f t="shared" si="42"/>
        <v>TX_NEWTON</v>
      </c>
    </row>
    <row r="2698" spans="17:19" x14ac:dyDescent="0.2">
      <c r="Q2698" s="31" t="s">
        <v>1822</v>
      </c>
      <c r="R2698" s="72" t="s">
        <v>64</v>
      </c>
      <c r="S2698" s="75" t="str">
        <f t="shared" si="42"/>
        <v>TX_NOLAN</v>
      </c>
    </row>
    <row r="2699" spans="17:19" x14ac:dyDescent="0.2">
      <c r="Q2699" s="30" t="s">
        <v>1823</v>
      </c>
      <c r="R2699" s="71" t="s">
        <v>64</v>
      </c>
      <c r="S2699" s="75" t="str">
        <f t="shared" si="42"/>
        <v>TX_NUECES</v>
      </c>
    </row>
    <row r="2700" spans="17:19" x14ac:dyDescent="0.2">
      <c r="Q2700" s="31" t="s">
        <v>1824</v>
      </c>
      <c r="R2700" s="72" t="s">
        <v>64</v>
      </c>
      <c r="S2700" s="75" t="str">
        <f t="shared" si="42"/>
        <v>TX_OCHILTREE</v>
      </c>
    </row>
    <row r="2701" spans="17:19" x14ac:dyDescent="0.2">
      <c r="Q2701" s="30" t="s">
        <v>929</v>
      </c>
      <c r="R2701" s="71" t="s">
        <v>64</v>
      </c>
      <c r="S2701" s="75" t="str">
        <f t="shared" si="42"/>
        <v>TX_OLDHAM</v>
      </c>
    </row>
    <row r="2702" spans="17:19" x14ac:dyDescent="0.2">
      <c r="Q2702" s="31" t="s">
        <v>389</v>
      </c>
      <c r="R2702" s="72" t="s">
        <v>64</v>
      </c>
      <c r="S2702" s="75" t="str">
        <f t="shared" si="42"/>
        <v>TX_ORANGE</v>
      </c>
    </row>
    <row r="2703" spans="17:19" x14ac:dyDescent="0.2">
      <c r="Q2703" s="30" t="s">
        <v>1825</v>
      </c>
      <c r="R2703" s="71" t="s">
        <v>64</v>
      </c>
      <c r="S2703" s="75" t="str">
        <f t="shared" si="42"/>
        <v>TX_PALO PINTO</v>
      </c>
    </row>
    <row r="2704" spans="17:19" x14ac:dyDescent="0.2">
      <c r="Q2704" s="31" t="s">
        <v>1187</v>
      </c>
      <c r="R2704" s="72" t="s">
        <v>64</v>
      </c>
      <c r="S2704" s="75" t="str">
        <f t="shared" si="42"/>
        <v>TX_PANOLA</v>
      </c>
    </row>
    <row r="2705" spans="17:19" x14ac:dyDescent="0.2">
      <c r="Q2705" s="30" t="s">
        <v>1826</v>
      </c>
      <c r="R2705" s="71" t="s">
        <v>64</v>
      </c>
      <c r="S2705" s="75" t="str">
        <f t="shared" si="42"/>
        <v>TX_PARKER</v>
      </c>
    </row>
    <row r="2706" spans="17:19" x14ac:dyDescent="0.2">
      <c r="Q2706" s="31" t="s">
        <v>1827</v>
      </c>
      <c r="R2706" s="72" t="s">
        <v>64</v>
      </c>
      <c r="S2706" s="75" t="str">
        <f t="shared" si="42"/>
        <v>TX_PARMER</v>
      </c>
    </row>
    <row r="2707" spans="17:19" x14ac:dyDescent="0.2">
      <c r="Q2707" s="30" t="s">
        <v>1828</v>
      </c>
      <c r="R2707" s="71" t="s">
        <v>64</v>
      </c>
      <c r="S2707" s="75" t="str">
        <f t="shared" si="42"/>
        <v>TX_PECOS</v>
      </c>
    </row>
    <row r="2708" spans="17:19" x14ac:dyDescent="0.2">
      <c r="Q2708" s="31" t="s">
        <v>344</v>
      </c>
      <c r="R2708" s="72" t="s">
        <v>64</v>
      </c>
      <c r="S2708" s="75" t="str">
        <f t="shared" si="42"/>
        <v>TX_POLK</v>
      </c>
    </row>
    <row r="2709" spans="17:19" x14ac:dyDescent="0.2">
      <c r="Q2709" s="30" t="s">
        <v>1619</v>
      </c>
      <c r="R2709" s="71" t="s">
        <v>64</v>
      </c>
      <c r="S2709" s="75" t="str">
        <f t="shared" si="42"/>
        <v>TX_POTTER</v>
      </c>
    </row>
    <row r="2710" spans="17:19" x14ac:dyDescent="0.2">
      <c r="Q2710" s="31" t="s">
        <v>1829</v>
      </c>
      <c r="R2710" s="72" t="s">
        <v>64</v>
      </c>
      <c r="S2710" s="75" t="str">
        <f t="shared" si="42"/>
        <v>TX_PRESIDIO</v>
      </c>
    </row>
    <row r="2711" spans="17:19" x14ac:dyDescent="0.2">
      <c r="Q2711" s="30" t="s">
        <v>1830</v>
      </c>
      <c r="R2711" s="71" t="s">
        <v>64</v>
      </c>
      <c r="S2711" s="75" t="str">
        <f t="shared" si="42"/>
        <v>TX_RAINS</v>
      </c>
    </row>
    <row r="2712" spans="17:19" x14ac:dyDescent="0.2">
      <c r="Q2712" s="31" t="s">
        <v>1831</v>
      </c>
      <c r="R2712" s="72" t="s">
        <v>64</v>
      </c>
      <c r="S2712" s="75" t="str">
        <f t="shared" si="42"/>
        <v>TX_RANDALL</v>
      </c>
    </row>
    <row r="2713" spans="17:19" x14ac:dyDescent="0.2">
      <c r="Q2713" s="30" t="s">
        <v>1832</v>
      </c>
      <c r="R2713" s="71" t="s">
        <v>64</v>
      </c>
      <c r="S2713" s="75" t="str">
        <f t="shared" si="42"/>
        <v>TX_REAGAN</v>
      </c>
    </row>
    <row r="2714" spans="17:19" x14ac:dyDescent="0.2">
      <c r="Q2714" s="31" t="s">
        <v>1833</v>
      </c>
      <c r="R2714" s="72" t="s">
        <v>64</v>
      </c>
      <c r="S2714" s="75" t="str">
        <f t="shared" si="42"/>
        <v>TX_REAL</v>
      </c>
    </row>
    <row r="2715" spans="17:19" x14ac:dyDescent="0.2">
      <c r="Q2715" s="30" t="s">
        <v>1834</v>
      </c>
      <c r="R2715" s="71" t="s">
        <v>64</v>
      </c>
      <c r="S2715" s="75" t="str">
        <f t="shared" si="42"/>
        <v>TX_RED RIVER</v>
      </c>
    </row>
    <row r="2716" spans="17:19" x14ac:dyDescent="0.2">
      <c r="Q2716" s="31" t="s">
        <v>1835</v>
      </c>
      <c r="R2716" s="72" t="s">
        <v>64</v>
      </c>
      <c r="S2716" s="75" t="str">
        <f t="shared" si="42"/>
        <v>TX_REEVES</v>
      </c>
    </row>
    <row r="2717" spans="17:19" x14ac:dyDescent="0.2">
      <c r="Q2717" s="30" t="s">
        <v>1836</v>
      </c>
      <c r="R2717" s="71" t="s">
        <v>64</v>
      </c>
      <c r="S2717" s="75" t="str">
        <f t="shared" si="42"/>
        <v>TX_REFUGIO</v>
      </c>
    </row>
    <row r="2718" spans="17:19" x14ac:dyDescent="0.2">
      <c r="Q2718" s="31" t="s">
        <v>1682</v>
      </c>
      <c r="R2718" s="72" t="s">
        <v>64</v>
      </c>
      <c r="S2718" s="75" t="str">
        <f t="shared" si="42"/>
        <v>TX_ROBERTS</v>
      </c>
    </row>
    <row r="2719" spans="17:19" x14ac:dyDescent="0.2">
      <c r="Q2719" s="30" t="s">
        <v>933</v>
      </c>
      <c r="R2719" s="71" t="s">
        <v>64</v>
      </c>
      <c r="S2719" s="75" t="str">
        <f t="shared" si="42"/>
        <v>TX_ROBERTSON</v>
      </c>
    </row>
    <row r="2720" spans="17:19" x14ac:dyDescent="0.2">
      <c r="Q2720" s="31" t="s">
        <v>1837</v>
      </c>
      <c r="R2720" s="72" t="s">
        <v>64</v>
      </c>
      <c r="S2720" s="75" t="str">
        <f t="shared" si="42"/>
        <v>TX_ROCKWALL</v>
      </c>
    </row>
    <row r="2721" spans="17:19" x14ac:dyDescent="0.2">
      <c r="Q2721" s="30" t="s">
        <v>1838</v>
      </c>
      <c r="R2721" s="71" t="s">
        <v>64</v>
      </c>
      <c r="S2721" s="75" t="str">
        <f t="shared" si="42"/>
        <v>TX_RUNNELS</v>
      </c>
    </row>
    <row r="2722" spans="17:19" x14ac:dyDescent="0.2">
      <c r="Q2722" s="31" t="s">
        <v>1839</v>
      </c>
      <c r="R2722" s="72" t="s">
        <v>64</v>
      </c>
      <c r="S2722" s="75" t="str">
        <f t="shared" si="42"/>
        <v>TX_RUSK</v>
      </c>
    </row>
    <row r="2723" spans="17:19" x14ac:dyDescent="0.2">
      <c r="Q2723" s="30" t="s">
        <v>1840</v>
      </c>
      <c r="R2723" s="71" t="s">
        <v>64</v>
      </c>
      <c r="S2723" s="75" t="str">
        <f t="shared" si="42"/>
        <v>TX_SABINE</v>
      </c>
    </row>
    <row r="2724" spans="17:19" x14ac:dyDescent="0.2">
      <c r="Q2724" s="31" t="s">
        <v>1841</v>
      </c>
      <c r="R2724" s="72" t="s">
        <v>64</v>
      </c>
      <c r="S2724" s="75" t="str">
        <f t="shared" si="42"/>
        <v>TX_SAN AUGUSTINE</v>
      </c>
    </row>
    <row r="2725" spans="17:19" x14ac:dyDescent="0.2">
      <c r="Q2725" s="30" t="s">
        <v>1842</v>
      </c>
      <c r="R2725" s="71" t="s">
        <v>64</v>
      </c>
      <c r="S2725" s="75" t="str">
        <f t="shared" si="42"/>
        <v>TX_SAN JACINTO</v>
      </c>
    </row>
    <row r="2726" spans="17:19" x14ac:dyDescent="0.2">
      <c r="Q2726" s="31" t="s">
        <v>1843</v>
      </c>
      <c r="R2726" s="72" t="s">
        <v>64</v>
      </c>
      <c r="S2726" s="75" t="str">
        <f t="shared" si="42"/>
        <v>TX_SAN PATRICIO</v>
      </c>
    </row>
    <row r="2727" spans="17:19" x14ac:dyDescent="0.2">
      <c r="Q2727" s="30" t="s">
        <v>1844</v>
      </c>
      <c r="R2727" s="71" t="s">
        <v>64</v>
      </c>
      <c r="S2727" s="75" t="str">
        <f t="shared" si="42"/>
        <v>TX_SAN SABA</v>
      </c>
    </row>
    <row r="2728" spans="17:19" x14ac:dyDescent="0.2">
      <c r="Q2728" s="31" t="s">
        <v>1845</v>
      </c>
      <c r="R2728" s="72" t="s">
        <v>64</v>
      </c>
      <c r="S2728" s="75" t="str">
        <f t="shared" si="42"/>
        <v>TX_SCHLEICHER</v>
      </c>
    </row>
    <row r="2729" spans="17:19" x14ac:dyDescent="0.2">
      <c r="Q2729" s="30" t="s">
        <v>1846</v>
      </c>
      <c r="R2729" s="71" t="s">
        <v>64</v>
      </c>
      <c r="S2729" s="75" t="str">
        <f t="shared" si="42"/>
        <v>TX_SCURRY</v>
      </c>
    </row>
    <row r="2730" spans="17:19" x14ac:dyDescent="0.2">
      <c r="Q2730" s="31" t="s">
        <v>1847</v>
      </c>
      <c r="R2730" s="72" t="s">
        <v>64</v>
      </c>
      <c r="S2730" s="75" t="str">
        <f t="shared" si="42"/>
        <v>TX_SHACKELFORD</v>
      </c>
    </row>
    <row r="2731" spans="17:19" x14ac:dyDescent="0.2">
      <c r="Q2731" s="30" t="s">
        <v>255</v>
      </c>
      <c r="R2731" s="71" t="s">
        <v>64</v>
      </c>
      <c r="S2731" s="75" t="str">
        <f t="shared" si="42"/>
        <v>TX_SHELBY</v>
      </c>
    </row>
    <row r="2732" spans="17:19" x14ac:dyDescent="0.2">
      <c r="Q2732" s="31" t="s">
        <v>873</v>
      </c>
      <c r="R2732" s="72" t="s">
        <v>64</v>
      </c>
      <c r="S2732" s="75" t="str">
        <f t="shared" si="42"/>
        <v>TX_SHERMAN</v>
      </c>
    </row>
    <row r="2733" spans="17:19" x14ac:dyDescent="0.2">
      <c r="Q2733" s="30" t="s">
        <v>874</v>
      </c>
      <c r="R2733" s="71" t="s">
        <v>64</v>
      </c>
      <c r="S2733" s="75" t="str">
        <f t="shared" si="42"/>
        <v>TX_SMITH</v>
      </c>
    </row>
    <row r="2734" spans="17:19" x14ac:dyDescent="0.2">
      <c r="Q2734" s="31" t="s">
        <v>1848</v>
      </c>
      <c r="R2734" s="72" t="s">
        <v>64</v>
      </c>
      <c r="S2734" s="75" t="str">
        <f t="shared" si="42"/>
        <v>TX_SOMERVELL</v>
      </c>
    </row>
    <row r="2735" spans="17:19" x14ac:dyDescent="0.2">
      <c r="Q2735" s="30" t="s">
        <v>1849</v>
      </c>
      <c r="R2735" s="71" t="s">
        <v>64</v>
      </c>
      <c r="S2735" s="75" t="str">
        <f t="shared" si="42"/>
        <v>TX_STARR</v>
      </c>
    </row>
    <row r="2736" spans="17:19" x14ac:dyDescent="0.2">
      <c r="Q2736" s="31" t="s">
        <v>616</v>
      </c>
      <c r="R2736" s="72" t="s">
        <v>64</v>
      </c>
      <c r="S2736" s="75" t="str">
        <f t="shared" si="42"/>
        <v>TX_STEPHENS</v>
      </c>
    </row>
    <row r="2737" spans="17:19" x14ac:dyDescent="0.2">
      <c r="Q2737" s="30" t="s">
        <v>1850</v>
      </c>
      <c r="R2737" s="71" t="s">
        <v>64</v>
      </c>
      <c r="S2737" s="75" t="str">
        <f t="shared" si="42"/>
        <v>TX_STERLING</v>
      </c>
    </row>
    <row r="2738" spans="17:19" x14ac:dyDescent="0.2">
      <c r="Q2738" s="31" t="s">
        <v>1851</v>
      </c>
      <c r="R2738" s="72" t="s">
        <v>64</v>
      </c>
      <c r="S2738" s="75" t="str">
        <f t="shared" si="42"/>
        <v>TX_STONEWALL</v>
      </c>
    </row>
    <row r="2739" spans="17:19" x14ac:dyDescent="0.2">
      <c r="Q2739" s="30" t="s">
        <v>1852</v>
      </c>
      <c r="R2739" s="71" t="s">
        <v>64</v>
      </c>
      <c r="S2739" s="75" t="str">
        <f t="shared" si="42"/>
        <v>TX_SUTTON</v>
      </c>
    </row>
    <row r="2740" spans="17:19" x14ac:dyDescent="0.2">
      <c r="Q2740" s="31" t="s">
        <v>1853</v>
      </c>
      <c r="R2740" s="72" t="s">
        <v>64</v>
      </c>
      <c r="S2740" s="75" t="str">
        <f t="shared" si="42"/>
        <v>TX_SWISHER</v>
      </c>
    </row>
    <row r="2741" spans="17:19" x14ac:dyDescent="0.2">
      <c r="Q2741" s="30" t="s">
        <v>1854</v>
      </c>
      <c r="R2741" s="71" t="s">
        <v>64</v>
      </c>
      <c r="S2741" s="75" t="str">
        <f t="shared" si="42"/>
        <v>TX_TARRANT</v>
      </c>
    </row>
    <row r="2742" spans="17:19" x14ac:dyDescent="0.2">
      <c r="Q2742" s="31" t="s">
        <v>529</v>
      </c>
      <c r="R2742" s="72" t="s">
        <v>64</v>
      </c>
      <c r="S2742" s="75" t="str">
        <f t="shared" si="42"/>
        <v>TX_TAYLOR</v>
      </c>
    </row>
    <row r="2743" spans="17:19" x14ac:dyDescent="0.2">
      <c r="Q2743" s="30" t="s">
        <v>622</v>
      </c>
      <c r="R2743" s="71" t="s">
        <v>64</v>
      </c>
      <c r="S2743" s="75" t="str">
        <f t="shared" si="42"/>
        <v>TX_TERRELL</v>
      </c>
    </row>
    <row r="2744" spans="17:19" x14ac:dyDescent="0.2">
      <c r="Q2744" s="31" t="s">
        <v>1855</v>
      </c>
      <c r="R2744" s="72" t="s">
        <v>64</v>
      </c>
      <c r="S2744" s="75" t="str">
        <f t="shared" si="42"/>
        <v>TX_TERRY</v>
      </c>
    </row>
    <row r="2745" spans="17:19" x14ac:dyDescent="0.2">
      <c r="Q2745" s="30" t="s">
        <v>1856</v>
      </c>
      <c r="R2745" s="71" t="s">
        <v>64</v>
      </c>
      <c r="S2745" s="75" t="str">
        <f t="shared" si="42"/>
        <v>TX_THROCKMORTON</v>
      </c>
    </row>
    <row r="2746" spans="17:19" x14ac:dyDescent="0.2">
      <c r="Q2746" s="31" t="s">
        <v>1857</v>
      </c>
      <c r="R2746" s="72" t="s">
        <v>64</v>
      </c>
      <c r="S2746" s="75" t="str">
        <f t="shared" si="42"/>
        <v>TX_TITUS</v>
      </c>
    </row>
    <row r="2747" spans="17:19" x14ac:dyDescent="0.2">
      <c r="Q2747" s="30" t="s">
        <v>1858</v>
      </c>
      <c r="R2747" s="71" t="s">
        <v>64</v>
      </c>
      <c r="S2747" s="75" t="str">
        <f t="shared" si="42"/>
        <v>TX_TOM GREEN</v>
      </c>
    </row>
    <row r="2748" spans="17:19" x14ac:dyDescent="0.2">
      <c r="Q2748" s="31" t="s">
        <v>1859</v>
      </c>
      <c r="R2748" s="72" t="s">
        <v>64</v>
      </c>
      <c r="S2748" s="75" t="str">
        <f t="shared" si="42"/>
        <v>TX_TRAVIS</v>
      </c>
    </row>
    <row r="2749" spans="17:19" x14ac:dyDescent="0.2">
      <c r="Q2749" s="30" t="s">
        <v>411</v>
      </c>
      <c r="R2749" s="71" t="s">
        <v>64</v>
      </c>
      <c r="S2749" s="75" t="str">
        <f t="shared" si="42"/>
        <v>TX_TRINITY</v>
      </c>
    </row>
    <row r="2750" spans="17:19" x14ac:dyDescent="0.2">
      <c r="Q2750" s="31" t="s">
        <v>1860</v>
      </c>
      <c r="R2750" s="72" t="s">
        <v>64</v>
      </c>
      <c r="S2750" s="75" t="str">
        <f t="shared" si="42"/>
        <v>TX_TYLER</v>
      </c>
    </row>
    <row r="2751" spans="17:19" x14ac:dyDescent="0.2">
      <c r="Q2751" s="30" t="s">
        <v>1861</v>
      </c>
      <c r="R2751" s="71" t="s">
        <v>64</v>
      </c>
      <c r="S2751" s="75" t="str">
        <f t="shared" si="42"/>
        <v>TX_UPSHUR</v>
      </c>
    </row>
    <row r="2752" spans="17:19" x14ac:dyDescent="0.2">
      <c r="Q2752" s="31" t="s">
        <v>1862</v>
      </c>
      <c r="R2752" s="72" t="s">
        <v>64</v>
      </c>
      <c r="S2752" s="75" t="str">
        <f t="shared" si="42"/>
        <v>TX_UPTON</v>
      </c>
    </row>
    <row r="2753" spans="17:19" x14ac:dyDescent="0.2">
      <c r="Q2753" s="30" t="s">
        <v>1863</v>
      </c>
      <c r="R2753" s="71" t="s">
        <v>64</v>
      </c>
      <c r="S2753" s="75" t="str">
        <f t="shared" si="42"/>
        <v>TX_UVALDE</v>
      </c>
    </row>
    <row r="2754" spans="17:19" x14ac:dyDescent="0.2">
      <c r="Q2754" s="31" t="s">
        <v>1864</v>
      </c>
      <c r="R2754" s="72" t="s">
        <v>64</v>
      </c>
      <c r="S2754" s="75" t="str">
        <f t="shared" si="42"/>
        <v>TX_VAL VERDE</v>
      </c>
    </row>
    <row r="2755" spans="17:19" x14ac:dyDescent="0.2">
      <c r="Q2755" s="30" t="s">
        <v>1865</v>
      </c>
      <c r="R2755" s="71" t="s">
        <v>64</v>
      </c>
      <c r="S2755" s="75" t="str">
        <f t="shared" si="42"/>
        <v>TX_VAN ZANDT</v>
      </c>
    </row>
    <row r="2756" spans="17:19" x14ac:dyDescent="0.2">
      <c r="Q2756" s="31" t="s">
        <v>1866</v>
      </c>
      <c r="R2756" s="72" t="s">
        <v>64</v>
      </c>
      <c r="S2756" s="75" t="str">
        <f t="shared" ref="S2756:S2819" si="43">UPPER(CONCATENATE(TRIM(R2756),"_",TRIM(Q2756)))</f>
        <v>TX_VICTORIA</v>
      </c>
    </row>
    <row r="2757" spans="17:19" x14ac:dyDescent="0.2">
      <c r="Q2757" s="30" t="s">
        <v>260</v>
      </c>
      <c r="R2757" s="71" t="s">
        <v>64</v>
      </c>
      <c r="S2757" s="75" t="str">
        <f t="shared" si="43"/>
        <v>TX_WALKER</v>
      </c>
    </row>
    <row r="2758" spans="17:19" x14ac:dyDescent="0.2">
      <c r="Q2758" s="31" t="s">
        <v>1867</v>
      </c>
      <c r="R2758" s="72" t="s">
        <v>64</v>
      </c>
      <c r="S2758" s="75" t="str">
        <f t="shared" si="43"/>
        <v>TX_WALLER</v>
      </c>
    </row>
    <row r="2759" spans="17:19" x14ac:dyDescent="0.2">
      <c r="Q2759" s="30" t="s">
        <v>1497</v>
      </c>
      <c r="R2759" s="71" t="s">
        <v>64</v>
      </c>
      <c r="S2759" s="75" t="str">
        <f t="shared" si="43"/>
        <v>TX_WARD</v>
      </c>
    </row>
    <row r="2760" spans="17:19" x14ac:dyDescent="0.2">
      <c r="Q2760" s="31" t="s">
        <v>261</v>
      </c>
      <c r="R2760" s="72" t="s">
        <v>64</v>
      </c>
      <c r="S2760" s="75" t="str">
        <f t="shared" si="43"/>
        <v>TX_WASHINGTON</v>
      </c>
    </row>
    <row r="2761" spans="17:19" x14ac:dyDescent="0.2">
      <c r="Q2761" s="30" t="s">
        <v>1868</v>
      </c>
      <c r="R2761" s="71" t="s">
        <v>64</v>
      </c>
      <c r="S2761" s="75" t="str">
        <f t="shared" si="43"/>
        <v>TX_WEBB</v>
      </c>
    </row>
    <row r="2762" spans="17:19" x14ac:dyDescent="0.2">
      <c r="Q2762" s="31" t="s">
        <v>1869</v>
      </c>
      <c r="R2762" s="72" t="s">
        <v>64</v>
      </c>
      <c r="S2762" s="75" t="str">
        <f t="shared" si="43"/>
        <v>TX_WHARTON</v>
      </c>
    </row>
    <row r="2763" spans="17:19" x14ac:dyDescent="0.2">
      <c r="Q2763" s="30" t="s">
        <v>636</v>
      </c>
      <c r="R2763" s="71" t="s">
        <v>64</v>
      </c>
      <c r="S2763" s="75" t="str">
        <f t="shared" si="43"/>
        <v>TX_WHEELER</v>
      </c>
    </row>
    <row r="2764" spans="17:19" x14ac:dyDescent="0.2">
      <c r="Q2764" s="31" t="s">
        <v>882</v>
      </c>
      <c r="R2764" s="72" t="s">
        <v>64</v>
      </c>
      <c r="S2764" s="75" t="str">
        <f t="shared" si="43"/>
        <v>TX_WICHITA</v>
      </c>
    </row>
    <row r="2765" spans="17:19" x14ac:dyDescent="0.2">
      <c r="Q2765" s="30" t="s">
        <v>1870</v>
      </c>
      <c r="R2765" s="71" t="s">
        <v>64</v>
      </c>
      <c r="S2765" s="75" t="str">
        <f t="shared" si="43"/>
        <v>TX_WILBARGER</v>
      </c>
    </row>
    <row r="2766" spans="17:19" x14ac:dyDescent="0.2">
      <c r="Q2766" s="31" t="s">
        <v>1871</v>
      </c>
      <c r="R2766" s="72" t="s">
        <v>64</v>
      </c>
      <c r="S2766" s="75" t="str">
        <f t="shared" si="43"/>
        <v>TX_WILLACY</v>
      </c>
    </row>
    <row r="2767" spans="17:19" x14ac:dyDescent="0.2">
      <c r="Q2767" s="30" t="s">
        <v>730</v>
      </c>
      <c r="R2767" s="71" t="s">
        <v>64</v>
      </c>
      <c r="S2767" s="75" t="str">
        <f t="shared" si="43"/>
        <v>TX_WILLIAMSON</v>
      </c>
    </row>
    <row r="2768" spans="17:19" x14ac:dyDescent="0.2">
      <c r="Q2768" s="31" t="s">
        <v>883</v>
      </c>
      <c r="R2768" s="72" t="s">
        <v>64</v>
      </c>
      <c r="S2768" s="75" t="str">
        <f t="shared" si="43"/>
        <v>TX_WILSON</v>
      </c>
    </row>
    <row r="2769" spans="17:19" x14ac:dyDescent="0.2">
      <c r="Q2769" s="30" t="s">
        <v>1872</v>
      </c>
      <c r="R2769" s="71" t="s">
        <v>64</v>
      </c>
      <c r="S2769" s="75" t="str">
        <f t="shared" si="43"/>
        <v>TX_WINKLER</v>
      </c>
    </row>
    <row r="2770" spans="17:19" x14ac:dyDescent="0.2">
      <c r="Q2770" s="31" t="s">
        <v>1873</v>
      </c>
      <c r="R2770" s="72" t="s">
        <v>64</v>
      </c>
      <c r="S2770" s="75" t="str">
        <f t="shared" si="43"/>
        <v>TX_WISE</v>
      </c>
    </row>
    <row r="2771" spans="17:19" x14ac:dyDescent="0.2">
      <c r="Q2771" s="30" t="s">
        <v>1532</v>
      </c>
      <c r="R2771" s="71" t="s">
        <v>64</v>
      </c>
      <c r="S2771" s="75" t="str">
        <f t="shared" si="43"/>
        <v>TX_WOOD</v>
      </c>
    </row>
    <row r="2772" spans="17:19" x14ac:dyDescent="0.2">
      <c r="Q2772" s="31" t="s">
        <v>1874</v>
      </c>
      <c r="R2772" s="72" t="s">
        <v>64</v>
      </c>
      <c r="S2772" s="75" t="str">
        <f t="shared" si="43"/>
        <v>TX_YOAKUM</v>
      </c>
    </row>
    <row r="2773" spans="17:19" x14ac:dyDescent="0.2">
      <c r="Q2773" s="30" t="s">
        <v>1875</v>
      </c>
      <c r="R2773" s="71" t="s">
        <v>64</v>
      </c>
      <c r="S2773" s="75" t="str">
        <f t="shared" si="43"/>
        <v>TX_YOUNG</v>
      </c>
    </row>
    <row r="2774" spans="17:19" x14ac:dyDescent="0.2">
      <c r="Q2774" s="31" t="s">
        <v>1876</v>
      </c>
      <c r="R2774" s="72" t="s">
        <v>64</v>
      </c>
      <c r="S2774" s="75" t="str">
        <f t="shared" si="43"/>
        <v>TX_ZAPATA</v>
      </c>
    </row>
    <row r="2775" spans="17:19" x14ac:dyDescent="0.2">
      <c r="Q2775" s="30" t="s">
        <v>1877</v>
      </c>
      <c r="R2775" s="71" t="s">
        <v>64</v>
      </c>
      <c r="S2775" s="75" t="str">
        <f t="shared" si="43"/>
        <v>TX_ZAVALA</v>
      </c>
    </row>
    <row r="2776" spans="17:19" x14ac:dyDescent="0.2">
      <c r="Q2776" s="31" t="s">
        <v>1536</v>
      </c>
      <c r="R2776" s="72" t="s">
        <v>63</v>
      </c>
      <c r="S2776" s="75" t="str">
        <f t="shared" si="43"/>
        <v>UT_BEAVER</v>
      </c>
    </row>
    <row r="2777" spans="17:19" x14ac:dyDescent="0.2">
      <c r="Q2777" s="30" t="s">
        <v>1878</v>
      </c>
      <c r="R2777" s="71" t="s">
        <v>63</v>
      </c>
      <c r="S2777" s="75" t="str">
        <f t="shared" si="43"/>
        <v>UT_BOX ELDER</v>
      </c>
    </row>
    <row r="2778" spans="17:19" x14ac:dyDescent="0.2">
      <c r="Q2778" s="31" t="s">
        <v>1879</v>
      </c>
      <c r="R2778" s="72" t="s">
        <v>63</v>
      </c>
      <c r="S2778" s="75" t="str">
        <f t="shared" si="43"/>
        <v>UT_CACHE</v>
      </c>
    </row>
    <row r="2779" spans="17:19" x14ac:dyDescent="0.2">
      <c r="Q2779" s="30" t="s">
        <v>1246</v>
      </c>
      <c r="R2779" s="71" t="s">
        <v>63</v>
      </c>
      <c r="S2779" s="75" t="str">
        <f t="shared" si="43"/>
        <v>UT_CARBON</v>
      </c>
    </row>
    <row r="2780" spans="17:19" x14ac:dyDescent="0.2">
      <c r="Q2780" s="31" t="s">
        <v>1880</v>
      </c>
      <c r="R2780" s="72" t="s">
        <v>63</v>
      </c>
      <c r="S2780" s="75" t="str">
        <f t="shared" si="43"/>
        <v>UT_DAGGETT</v>
      </c>
    </row>
    <row r="2781" spans="17:19" x14ac:dyDescent="0.2">
      <c r="Q2781" s="30" t="s">
        <v>785</v>
      </c>
      <c r="R2781" s="71" t="s">
        <v>63</v>
      </c>
      <c r="S2781" s="75" t="str">
        <f t="shared" si="43"/>
        <v>UT_DAVIS</v>
      </c>
    </row>
    <row r="2782" spans="17:19" x14ac:dyDescent="0.2">
      <c r="Q2782" s="31" t="s">
        <v>1881</v>
      </c>
      <c r="R2782" s="72" t="s">
        <v>63</v>
      </c>
      <c r="S2782" s="75" t="str">
        <f t="shared" si="43"/>
        <v>UT_DUCHESNE</v>
      </c>
    </row>
    <row r="2783" spans="17:19" x14ac:dyDescent="0.2">
      <c r="Q2783" s="30" t="s">
        <v>1882</v>
      </c>
      <c r="R2783" s="71" t="s">
        <v>63</v>
      </c>
      <c r="S2783" s="75" t="str">
        <f t="shared" si="43"/>
        <v>UT_EMERY</v>
      </c>
    </row>
    <row r="2784" spans="17:19" x14ac:dyDescent="0.2">
      <c r="Q2784" s="31" t="s">
        <v>439</v>
      </c>
      <c r="R2784" s="72" t="s">
        <v>63</v>
      </c>
      <c r="S2784" s="75" t="str">
        <f t="shared" si="43"/>
        <v>UT_GARFIELD</v>
      </c>
    </row>
    <row r="2785" spans="17:19" x14ac:dyDescent="0.2">
      <c r="Q2785" s="30" t="s">
        <v>441</v>
      </c>
      <c r="R2785" s="71" t="s">
        <v>63</v>
      </c>
      <c r="S2785" s="75" t="str">
        <f t="shared" si="43"/>
        <v>UT_GRAND</v>
      </c>
    </row>
    <row r="2786" spans="17:19" x14ac:dyDescent="0.2">
      <c r="Q2786" s="31" t="s">
        <v>1068</v>
      </c>
      <c r="R2786" s="72" t="s">
        <v>63</v>
      </c>
      <c r="S2786" s="75" t="str">
        <f t="shared" si="43"/>
        <v>UT_IRON</v>
      </c>
    </row>
    <row r="2787" spans="17:19" x14ac:dyDescent="0.2">
      <c r="Q2787" s="30" t="s">
        <v>1883</v>
      </c>
      <c r="R2787" s="71" t="s">
        <v>63</v>
      </c>
      <c r="S2787" s="75" t="str">
        <f t="shared" si="43"/>
        <v>UT_JUAB</v>
      </c>
    </row>
    <row r="2788" spans="17:19" x14ac:dyDescent="0.2">
      <c r="Q2788" s="31" t="s">
        <v>701</v>
      </c>
      <c r="R2788" s="72" t="s">
        <v>63</v>
      </c>
      <c r="S2788" s="75" t="str">
        <f t="shared" si="43"/>
        <v>UT_KANE</v>
      </c>
    </row>
    <row r="2789" spans="17:19" x14ac:dyDescent="0.2">
      <c r="Q2789" s="30" t="s">
        <v>1884</v>
      </c>
      <c r="R2789" s="71" t="s">
        <v>63</v>
      </c>
      <c r="S2789" s="75" t="str">
        <f t="shared" si="43"/>
        <v>UT_MILLARD</v>
      </c>
    </row>
    <row r="2790" spans="17:19" x14ac:dyDescent="0.2">
      <c r="Q2790" s="31" t="s">
        <v>248</v>
      </c>
      <c r="R2790" s="72" t="s">
        <v>63</v>
      </c>
      <c r="S2790" s="75" t="str">
        <f t="shared" si="43"/>
        <v>UT_MORGAN</v>
      </c>
    </row>
    <row r="2791" spans="17:19" x14ac:dyDescent="0.2">
      <c r="Q2791" s="30" t="s">
        <v>1885</v>
      </c>
      <c r="R2791" s="71" t="s">
        <v>63</v>
      </c>
      <c r="S2791" s="75" t="str">
        <f t="shared" si="43"/>
        <v>UT_PIUTE</v>
      </c>
    </row>
    <row r="2792" spans="17:19" x14ac:dyDescent="0.2">
      <c r="Q2792" s="31" t="s">
        <v>1886</v>
      </c>
      <c r="R2792" s="72" t="s">
        <v>63</v>
      </c>
      <c r="S2792" s="75" t="str">
        <f t="shared" si="43"/>
        <v>UT_RICH</v>
      </c>
    </row>
    <row r="2793" spans="17:19" x14ac:dyDescent="0.2">
      <c r="Q2793" s="30" t="s">
        <v>1887</v>
      </c>
      <c r="R2793" s="71" t="s">
        <v>63</v>
      </c>
      <c r="S2793" s="75" t="str">
        <f t="shared" si="43"/>
        <v>UT_SALT LAKE</v>
      </c>
    </row>
    <row r="2794" spans="17:19" x14ac:dyDescent="0.2">
      <c r="Q2794" s="31" t="s">
        <v>465</v>
      </c>
      <c r="R2794" s="72" t="s">
        <v>63</v>
      </c>
      <c r="S2794" s="75" t="str">
        <f t="shared" si="43"/>
        <v>UT_SAN JUAN</v>
      </c>
    </row>
    <row r="2795" spans="17:19" x14ac:dyDescent="0.2">
      <c r="Q2795" s="30" t="s">
        <v>1888</v>
      </c>
      <c r="R2795" s="71" t="s">
        <v>63</v>
      </c>
      <c r="S2795" s="75" t="str">
        <f t="shared" si="43"/>
        <v>UT_SANPETE</v>
      </c>
    </row>
    <row r="2796" spans="17:19" x14ac:dyDescent="0.2">
      <c r="Q2796" s="31" t="s">
        <v>353</v>
      </c>
      <c r="R2796" s="72" t="s">
        <v>63</v>
      </c>
      <c r="S2796" s="75" t="str">
        <f t="shared" si="43"/>
        <v>UT_SEVIER</v>
      </c>
    </row>
    <row r="2797" spans="17:19" x14ac:dyDescent="0.2">
      <c r="Q2797" s="30" t="s">
        <v>468</v>
      </c>
      <c r="R2797" s="71" t="s">
        <v>63</v>
      </c>
      <c r="S2797" s="75" t="str">
        <f t="shared" si="43"/>
        <v>UT_SUMMIT</v>
      </c>
    </row>
    <row r="2798" spans="17:19" x14ac:dyDescent="0.2">
      <c r="Q2798" s="31" t="s">
        <v>1889</v>
      </c>
      <c r="R2798" s="72" t="s">
        <v>63</v>
      </c>
      <c r="S2798" s="75" t="str">
        <f t="shared" si="43"/>
        <v>UT_TOOELE</v>
      </c>
    </row>
    <row r="2799" spans="17:19" x14ac:dyDescent="0.2">
      <c r="Q2799" s="30" t="s">
        <v>1890</v>
      </c>
      <c r="R2799" s="71" t="s">
        <v>63</v>
      </c>
      <c r="S2799" s="75" t="str">
        <f t="shared" si="43"/>
        <v>UT_UINTAH</v>
      </c>
    </row>
    <row r="2800" spans="17:19" x14ac:dyDescent="0.2">
      <c r="Q2800" s="31" t="s">
        <v>1891</v>
      </c>
      <c r="R2800" s="72" t="s">
        <v>63</v>
      </c>
      <c r="S2800" s="75" t="str">
        <f t="shared" si="43"/>
        <v>UT_UTAH</v>
      </c>
    </row>
    <row r="2801" spans="17:19" x14ac:dyDescent="0.2">
      <c r="Q2801" s="30" t="s">
        <v>1892</v>
      </c>
      <c r="R2801" s="71" t="s">
        <v>63</v>
      </c>
      <c r="S2801" s="75" t="str">
        <f t="shared" si="43"/>
        <v>UT_WASATCH</v>
      </c>
    </row>
    <row r="2802" spans="17:19" x14ac:dyDescent="0.2">
      <c r="Q2802" s="31" t="s">
        <v>261</v>
      </c>
      <c r="R2802" s="72" t="s">
        <v>63</v>
      </c>
      <c r="S2802" s="75" t="str">
        <f t="shared" si="43"/>
        <v>UT_WASHINGTON</v>
      </c>
    </row>
    <row r="2803" spans="17:19" x14ac:dyDescent="0.2">
      <c r="Q2803" s="30" t="s">
        <v>634</v>
      </c>
      <c r="R2803" s="71" t="s">
        <v>63</v>
      </c>
      <c r="S2803" s="75" t="str">
        <f t="shared" si="43"/>
        <v>UT_WAYNE</v>
      </c>
    </row>
    <row r="2804" spans="17:19" x14ac:dyDescent="0.2">
      <c r="Q2804" s="31" t="s">
        <v>1893</v>
      </c>
      <c r="R2804" s="72" t="s">
        <v>63</v>
      </c>
      <c r="S2804" s="75" t="str">
        <f t="shared" si="43"/>
        <v>UT_WEBER</v>
      </c>
    </row>
    <row r="2805" spans="17:19" x14ac:dyDescent="0.2">
      <c r="Q2805" s="30" t="s">
        <v>1894</v>
      </c>
      <c r="R2805" s="71" t="s">
        <v>62</v>
      </c>
      <c r="S2805" s="75" t="str">
        <f t="shared" si="43"/>
        <v>VT_ADDISON</v>
      </c>
    </row>
    <row r="2806" spans="17:19" x14ac:dyDescent="0.2">
      <c r="Q2806" s="31" t="s">
        <v>1895</v>
      </c>
      <c r="R2806" s="72" t="s">
        <v>62</v>
      </c>
      <c r="S2806" s="75" t="str">
        <f t="shared" si="43"/>
        <v>VT_BENNINGTON</v>
      </c>
    </row>
    <row r="2807" spans="17:19" x14ac:dyDescent="0.2">
      <c r="Q2807" s="30" t="s">
        <v>1896</v>
      </c>
      <c r="R2807" s="71" t="s">
        <v>62</v>
      </c>
      <c r="S2807" s="75" t="str">
        <f t="shared" si="43"/>
        <v>VT_CALEDONIA</v>
      </c>
    </row>
    <row r="2808" spans="17:19" x14ac:dyDescent="0.2">
      <c r="Q2808" s="31" t="s">
        <v>1897</v>
      </c>
      <c r="R2808" s="72" t="s">
        <v>62</v>
      </c>
      <c r="S2808" s="75" t="str">
        <f t="shared" si="43"/>
        <v>VT_CHITTENDEN</v>
      </c>
    </row>
    <row r="2809" spans="17:19" x14ac:dyDescent="0.2">
      <c r="Q2809" s="30" t="s">
        <v>1036</v>
      </c>
      <c r="R2809" s="71" t="s">
        <v>62</v>
      </c>
      <c r="S2809" s="75" t="str">
        <f t="shared" si="43"/>
        <v>VT_ESSEX</v>
      </c>
    </row>
    <row r="2810" spans="17:19" x14ac:dyDescent="0.2">
      <c r="Q2810" s="31" t="s">
        <v>226</v>
      </c>
      <c r="R2810" s="72" t="s">
        <v>62</v>
      </c>
      <c r="S2810" s="75" t="str">
        <f t="shared" si="43"/>
        <v>VT_FRANKLIN</v>
      </c>
    </row>
    <row r="2811" spans="17:19" x14ac:dyDescent="0.2">
      <c r="Q2811" s="30" t="s">
        <v>1898</v>
      </c>
      <c r="R2811" s="71" t="s">
        <v>62</v>
      </c>
      <c r="S2811" s="75" t="str">
        <f t="shared" si="43"/>
        <v>VT_GRAND ISLE</v>
      </c>
    </row>
    <row r="2812" spans="17:19" x14ac:dyDescent="0.2">
      <c r="Q2812" s="31" t="s">
        <v>1899</v>
      </c>
      <c r="R2812" s="72" t="s">
        <v>62</v>
      </c>
      <c r="S2812" s="75" t="str">
        <f t="shared" si="43"/>
        <v>VT_LAMOILLE</v>
      </c>
    </row>
    <row r="2813" spans="17:19" x14ac:dyDescent="0.2">
      <c r="Q2813" s="30" t="s">
        <v>389</v>
      </c>
      <c r="R2813" s="71" t="s">
        <v>62</v>
      </c>
      <c r="S2813" s="75" t="str">
        <f t="shared" si="43"/>
        <v>VT_ORANGE</v>
      </c>
    </row>
    <row r="2814" spans="17:19" x14ac:dyDescent="0.2">
      <c r="Q2814" s="31" t="s">
        <v>1388</v>
      </c>
      <c r="R2814" s="72" t="s">
        <v>62</v>
      </c>
      <c r="S2814" s="75" t="str">
        <f t="shared" si="43"/>
        <v>VT_ORLEANS</v>
      </c>
    </row>
    <row r="2815" spans="17:19" x14ac:dyDescent="0.2">
      <c r="Q2815" s="30" t="s">
        <v>1900</v>
      </c>
      <c r="R2815" s="71" t="s">
        <v>62</v>
      </c>
      <c r="S2815" s="75" t="str">
        <f t="shared" si="43"/>
        <v>VT_RUTLAND</v>
      </c>
    </row>
    <row r="2816" spans="17:19" x14ac:dyDescent="0.2">
      <c r="Q2816" s="31" t="s">
        <v>261</v>
      </c>
      <c r="R2816" s="72" t="s">
        <v>62</v>
      </c>
      <c r="S2816" s="75" t="str">
        <f t="shared" si="43"/>
        <v>VT_WASHINGTON</v>
      </c>
    </row>
    <row r="2817" spans="17:19" x14ac:dyDescent="0.2">
      <c r="Q2817" s="30" t="s">
        <v>478</v>
      </c>
      <c r="R2817" s="71" t="s">
        <v>62</v>
      </c>
      <c r="S2817" s="75" t="str">
        <f t="shared" si="43"/>
        <v>VT_WINDHAM</v>
      </c>
    </row>
    <row r="2818" spans="17:19" x14ac:dyDescent="0.2">
      <c r="Q2818" s="31" t="s">
        <v>1901</v>
      </c>
      <c r="R2818" s="72" t="s">
        <v>62</v>
      </c>
      <c r="S2818" s="75" t="str">
        <f t="shared" si="43"/>
        <v>VT_WINDSOR</v>
      </c>
    </row>
    <row r="2819" spans="17:19" x14ac:dyDescent="0.2">
      <c r="Q2819" s="30" t="s">
        <v>1902</v>
      </c>
      <c r="R2819" s="71" t="s">
        <v>61</v>
      </c>
      <c r="S2819" s="75" t="str">
        <f t="shared" si="43"/>
        <v>VA_ACCOMACK</v>
      </c>
    </row>
    <row r="2820" spans="17:19" x14ac:dyDescent="0.2">
      <c r="Q2820" s="31" t="s">
        <v>1903</v>
      </c>
      <c r="R2820" s="72" t="s">
        <v>61</v>
      </c>
      <c r="S2820" s="75" t="str">
        <f t="shared" ref="S2820:S2883" si="44">UPPER(CONCATENATE(TRIM(R2820),"_",TRIM(Q2820)))</f>
        <v>VA_ALBEMARLE</v>
      </c>
    </row>
    <row r="2821" spans="17:19" x14ac:dyDescent="0.2">
      <c r="Q2821" s="30" t="s">
        <v>1405</v>
      </c>
      <c r="R2821" s="71" t="s">
        <v>61</v>
      </c>
      <c r="S2821" s="75" t="str">
        <f t="shared" si="44"/>
        <v>VA_ALLEGHANY</v>
      </c>
    </row>
    <row r="2822" spans="17:19" x14ac:dyDescent="0.2">
      <c r="Q2822" s="31" t="s">
        <v>1904</v>
      </c>
      <c r="R2822" s="72" t="s">
        <v>61</v>
      </c>
      <c r="S2822" s="75" t="str">
        <f t="shared" si="44"/>
        <v>VA_AMELIA</v>
      </c>
    </row>
    <row r="2823" spans="17:19" x14ac:dyDescent="0.2">
      <c r="Q2823" s="30" t="s">
        <v>1905</v>
      </c>
      <c r="R2823" s="71" t="s">
        <v>61</v>
      </c>
      <c r="S2823" s="75" t="str">
        <f t="shared" si="44"/>
        <v>VA_AMHERST</v>
      </c>
    </row>
    <row r="2824" spans="17:19" x14ac:dyDescent="0.2">
      <c r="Q2824" s="31" t="s">
        <v>1906</v>
      </c>
      <c r="R2824" s="72" t="s">
        <v>61</v>
      </c>
      <c r="S2824" s="75" t="str">
        <f t="shared" si="44"/>
        <v>VA_APPOMATTOX</v>
      </c>
    </row>
    <row r="2825" spans="17:19" x14ac:dyDescent="0.2">
      <c r="Q2825" s="30" t="s">
        <v>1907</v>
      </c>
      <c r="R2825" s="71" t="s">
        <v>61</v>
      </c>
      <c r="S2825" s="75" t="str">
        <f t="shared" si="44"/>
        <v>VA_ARLINGTON</v>
      </c>
    </row>
    <row r="2826" spans="17:19" x14ac:dyDescent="0.2">
      <c r="Q2826" s="31" t="s">
        <v>1908</v>
      </c>
      <c r="R2826" s="72" t="s">
        <v>61</v>
      </c>
      <c r="S2826" s="75" t="str">
        <f t="shared" si="44"/>
        <v>VA_AUGUSTA</v>
      </c>
    </row>
    <row r="2827" spans="17:19" x14ac:dyDescent="0.2">
      <c r="Q2827" s="30" t="s">
        <v>888</v>
      </c>
      <c r="R2827" s="71" t="s">
        <v>61</v>
      </c>
      <c r="S2827" s="75" t="str">
        <f t="shared" si="44"/>
        <v>VA_BATH</v>
      </c>
    </row>
    <row r="2828" spans="17:19" x14ac:dyDescent="0.2">
      <c r="Q2828" s="31" t="s">
        <v>1594</v>
      </c>
      <c r="R2828" s="72" t="s">
        <v>61</v>
      </c>
      <c r="S2828" s="75" t="str">
        <f t="shared" si="44"/>
        <v>VA_BEDFORD</v>
      </c>
    </row>
    <row r="2829" spans="17:19" x14ac:dyDescent="0.2">
      <c r="Q2829" s="30" t="s">
        <v>1909</v>
      </c>
      <c r="R2829" s="71" t="s">
        <v>61</v>
      </c>
      <c r="S2829" s="75" t="str">
        <f t="shared" si="44"/>
        <v>VA_BLAND</v>
      </c>
    </row>
    <row r="2830" spans="17:19" x14ac:dyDescent="0.2">
      <c r="Q2830" s="31" t="s">
        <v>1910</v>
      </c>
      <c r="R2830" s="72" t="s">
        <v>61</v>
      </c>
      <c r="S2830" s="75" t="str">
        <f t="shared" si="44"/>
        <v>VA_BOTETOURT</v>
      </c>
    </row>
    <row r="2831" spans="17:19" x14ac:dyDescent="0.2">
      <c r="Q2831" s="30" t="s">
        <v>1412</v>
      </c>
      <c r="R2831" s="71" t="s">
        <v>61</v>
      </c>
      <c r="S2831" s="75" t="str">
        <f t="shared" si="44"/>
        <v>VA_BRUNSWICK</v>
      </c>
    </row>
    <row r="2832" spans="17:19" x14ac:dyDescent="0.2">
      <c r="Q2832" s="31" t="s">
        <v>780</v>
      </c>
      <c r="R2832" s="72" t="s">
        <v>61</v>
      </c>
      <c r="S2832" s="75" t="str">
        <f t="shared" si="44"/>
        <v>VA_BUCHANAN</v>
      </c>
    </row>
    <row r="2833" spans="17:19" x14ac:dyDescent="0.2">
      <c r="Q2833" s="30" t="s">
        <v>1911</v>
      </c>
      <c r="R2833" s="71" t="s">
        <v>61</v>
      </c>
      <c r="S2833" s="75" t="str">
        <f t="shared" si="44"/>
        <v>VA_BUCKINGHAM</v>
      </c>
    </row>
    <row r="2834" spans="17:19" x14ac:dyDescent="0.2">
      <c r="Q2834" s="31" t="s">
        <v>898</v>
      </c>
      <c r="R2834" s="72" t="s">
        <v>61</v>
      </c>
      <c r="S2834" s="75" t="str">
        <f t="shared" si="44"/>
        <v>VA_CAMPBELL</v>
      </c>
    </row>
    <row r="2835" spans="17:19" x14ac:dyDescent="0.2">
      <c r="Q2835" s="30" t="s">
        <v>1019</v>
      </c>
      <c r="R2835" s="71" t="s">
        <v>61</v>
      </c>
      <c r="S2835" s="75" t="str">
        <f t="shared" si="44"/>
        <v>VA_CAROLINE</v>
      </c>
    </row>
    <row r="2836" spans="17:19" x14ac:dyDescent="0.2">
      <c r="Q2836" s="31" t="s">
        <v>310</v>
      </c>
      <c r="R2836" s="72" t="s">
        <v>61</v>
      </c>
      <c r="S2836" s="75" t="str">
        <f t="shared" si="44"/>
        <v>VA_CARROLL</v>
      </c>
    </row>
    <row r="2837" spans="17:19" x14ac:dyDescent="0.2">
      <c r="Q2837" s="30" t="s">
        <v>1912</v>
      </c>
      <c r="R2837" s="71" t="s">
        <v>61</v>
      </c>
      <c r="S2837" s="75" t="str">
        <f t="shared" si="44"/>
        <v>VA_CHARLES CITY</v>
      </c>
    </row>
    <row r="2838" spans="17:19" x14ac:dyDescent="0.2">
      <c r="Q2838" s="31" t="s">
        <v>490</v>
      </c>
      <c r="R2838" s="72" t="s">
        <v>61</v>
      </c>
      <c r="S2838" s="75" t="str">
        <f t="shared" si="44"/>
        <v>VA_CHARLOTTE</v>
      </c>
    </row>
    <row r="2839" spans="17:19" x14ac:dyDescent="0.2">
      <c r="Q2839" s="30" t="s">
        <v>1634</v>
      </c>
      <c r="R2839" s="71" t="s">
        <v>61</v>
      </c>
      <c r="S2839" s="75" t="str">
        <f t="shared" si="44"/>
        <v>VA_CHESTERFIELD</v>
      </c>
    </row>
    <row r="2840" spans="17:19" x14ac:dyDescent="0.2">
      <c r="Q2840" s="31" t="s">
        <v>209</v>
      </c>
      <c r="R2840" s="72" t="s">
        <v>61</v>
      </c>
      <c r="S2840" s="75" t="str">
        <f t="shared" si="44"/>
        <v>VA_CLARKE</v>
      </c>
    </row>
    <row r="2841" spans="17:19" x14ac:dyDescent="0.2">
      <c r="Q2841" s="30" t="s">
        <v>1543</v>
      </c>
      <c r="R2841" s="71" t="s">
        <v>61</v>
      </c>
      <c r="S2841" s="75" t="str">
        <f t="shared" si="44"/>
        <v>VA_CRAIG</v>
      </c>
    </row>
    <row r="2842" spans="17:19" x14ac:dyDescent="0.2">
      <c r="Q2842" s="31" t="s">
        <v>1913</v>
      </c>
      <c r="R2842" s="72" t="s">
        <v>61</v>
      </c>
      <c r="S2842" s="75" t="str">
        <f t="shared" si="44"/>
        <v>VA_CULPEPER</v>
      </c>
    </row>
    <row r="2843" spans="17:19" x14ac:dyDescent="0.2">
      <c r="Q2843" s="30" t="s">
        <v>688</v>
      </c>
      <c r="R2843" s="71" t="s">
        <v>61</v>
      </c>
      <c r="S2843" s="75" t="str">
        <f t="shared" si="44"/>
        <v>VA_CUMBERLAND</v>
      </c>
    </row>
    <row r="2844" spans="17:19" x14ac:dyDescent="0.2">
      <c r="Q2844" s="31" t="s">
        <v>1914</v>
      </c>
      <c r="R2844" s="72" t="s">
        <v>61</v>
      </c>
      <c r="S2844" s="75" t="str">
        <f t="shared" si="44"/>
        <v>VA_DICKENSON</v>
      </c>
    </row>
    <row r="2845" spans="17:19" x14ac:dyDescent="0.2">
      <c r="Q2845" s="30" t="s">
        <v>1915</v>
      </c>
      <c r="R2845" s="71" t="s">
        <v>61</v>
      </c>
      <c r="S2845" s="75" t="str">
        <f t="shared" si="44"/>
        <v>VA_DINWIDDIE</v>
      </c>
    </row>
    <row r="2846" spans="17:19" x14ac:dyDescent="0.2">
      <c r="Q2846" s="31" t="s">
        <v>1036</v>
      </c>
      <c r="R2846" s="72" t="s">
        <v>61</v>
      </c>
      <c r="S2846" s="75" t="str">
        <f t="shared" si="44"/>
        <v>VA_ESSEX</v>
      </c>
    </row>
    <row r="2847" spans="17:19" x14ac:dyDescent="0.2">
      <c r="Q2847" s="30" t="s">
        <v>1916</v>
      </c>
      <c r="R2847" s="71" t="s">
        <v>61</v>
      </c>
      <c r="S2847" s="75" t="str">
        <f t="shared" si="44"/>
        <v>VA_FAIRFAX</v>
      </c>
    </row>
    <row r="2848" spans="17:19" x14ac:dyDescent="0.2">
      <c r="Q2848" s="31" t="s">
        <v>1917</v>
      </c>
      <c r="R2848" s="72" t="s">
        <v>61</v>
      </c>
      <c r="S2848" s="75" t="str">
        <f t="shared" si="44"/>
        <v>VA_FAUQUIER</v>
      </c>
    </row>
    <row r="2849" spans="17:19" x14ac:dyDescent="0.2">
      <c r="Q2849" s="30" t="s">
        <v>574</v>
      </c>
      <c r="R2849" s="71" t="s">
        <v>61</v>
      </c>
      <c r="S2849" s="75" t="str">
        <f t="shared" si="44"/>
        <v>VA_FLOYD</v>
      </c>
    </row>
    <row r="2850" spans="17:19" x14ac:dyDescent="0.2">
      <c r="Q2850" s="31" t="s">
        <v>1918</v>
      </c>
      <c r="R2850" s="72" t="s">
        <v>61</v>
      </c>
      <c r="S2850" s="75" t="str">
        <f t="shared" si="44"/>
        <v>VA_FLUVANNA</v>
      </c>
    </row>
    <row r="2851" spans="17:19" x14ac:dyDescent="0.2">
      <c r="Q2851" s="30" t="s">
        <v>226</v>
      </c>
      <c r="R2851" s="71" t="s">
        <v>61</v>
      </c>
      <c r="S2851" s="75" t="str">
        <f t="shared" si="44"/>
        <v>VA_FRANKLIN</v>
      </c>
    </row>
    <row r="2852" spans="17:19" x14ac:dyDescent="0.2">
      <c r="Q2852" s="31" t="s">
        <v>1023</v>
      </c>
      <c r="R2852" s="72" t="s">
        <v>61</v>
      </c>
      <c r="S2852" s="75" t="str">
        <f t="shared" si="44"/>
        <v>VA_FREDERICK</v>
      </c>
    </row>
    <row r="2853" spans="17:19" x14ac:dyDescent="0.2">
      <c r="Q2853" s="30" t="s">
        <v>1699</v>
      </c>
      <c r="R2853" s="71" t="s">
        <v>61</v>
      </c>
      <c r="S2853" s="75" t="str">
        <f t="shared" si="44"/>
        <v>VA_GILES</v>
      </c>
    </row>
    <row r="2854" spans="17:19" x14ac:dyDescent="0.2">
      <c r="Q2854" s="31" t="s">
        <v>1342</v>
      </c>
      <c r="R2854" s="72" t="s">
        <v>61</v>
      </c>
      <c r="S2854" s="75" t="str">
        <f t="shared" si="44"/>
        <v>VA_GLOUCESTER</v>
      </c>
    </row>
    <row r="2855" spans="17:19" x14ac:dyDescent="0.2">
      <c r="Q2855" s="30" t="s">
        <v>1919</v>
      </c>
      <c r="R2855" s="71" t="s">
        <v>61</v>
      </c>
      <c r="S2855" s="75" t="str">
        <f t="shared" si="44"/>
        <v>VA_GOOCHLAND</v>
      </c>
    </row>
    <row r="2856" spans="17:19" x14ac:dyDescent="0.2">
      <c r="Q2856" s="31" t="s">
        <v>908</v>
      </c>
      <c r="R2856" s="72" t="s">
        <v>61</v>
      </c>
      <c r="S2856" s="75" t="str">
        <f t="shared" si="44"/>
        <v>VA_GRAYSON</v>
      </c>
    </row>
    <row r="2857" spans="17:19" x14ac:dyDescent="0.2">
      <c r="Q2857" s="30" t="s">
        <v>228</v>
      </c>
      <c r="R2857" s="71" t="s">
        <v>61</v>
      </c>
      <c r="S2857" s="75" t="str">
        <f t="shared" si="44"/>
        <v>VA_GREENE</v>
      </c>
    </row>
    <row r="2858" spans="17:19" x14ac:dyDescent="0.2">
      <c r="Q2858" s="31" t="s">
        <v>1920</v>
      </c>
      <c r="R2858" s="72" t="s">
        <v>61</v>
      </c>
      <c r="S2858" s="75" t="str">
        <f t="shared" si="44"/>
        <v>VA_GREENSVILLE</v>
      </c>
    </row>
    <row r="2859" spans="17:19" x14ac:dyDescent="0.2">
      <c r="Q2859" s="30" t="s">
        <v>1432</v>
      </c>
      <c r="R2859" s="71" t="s">
        <v>61</v>
      </c>
      <c r="S2859" s="75" t="str">
        <f t="shared" si="44"/>
        <v>VA_HALIFAX</v>
      </c>
    </row>
    <row r="2860" spans="17:19" x14ac:dyDescent="0.2">
      <c r="Q2860" s="31" t="s">
        <v>1921</v>
      </c>
      <c r="R2860" s="72" t="s">
        <v>61</v>
      </c>
      <c r="S2860" s="75" t="str">
        <f t="shared" si="44"/>
        <v>VA_HANOVER</v>
      </c>
    </row>
    <row r="2861" spans="17:19" x14ac:dyDescent="0.2">
      <c r="Q2861" s="30" t="s">
        <v>1922</v>
      </c>
      <c r="R2861" s="71" t="s">
        <v>61</v>
      </c>
      <c r="S2861" s="75" t="str">
        <f t="shared" si="44"/>
        <v>VA_HENRICO</v>
      </c>
    </row>
    <row r="2862" spans="17:19" x14ac:dyDescent="0.2">
      <c r="Q2862" s="31" t="s">
        <v>230</v>
      </c>
      <c r="R2862" s="72" t="s">
        <v>61</v>
      </c>
      <c r="S2862" s="75" t="str">
        <f t="shared" si="44"/>
        <v>VA_HENRY</v>
      </c>
    </row>
    <row r="2863" spans="17:19" x14ac:dyDescent="0.2">
      <c r="Q2863" s="30" t="s">
        <v>1513</v>
      </c>
      <c r="R2863" s="71" t="s">
        <v>61</v>
      </c>
      <c r="S2863" s="75" t="str">
        <f t="shared" si="44"/>
        <v>VA_HIGHLAND</v>
      </c>
    </row>
    <row r="2864" spans="17:19" x14ac:dyDescent="0.2">
      <c r="Q2864" s="31" t="s">
        <v>1923</v>
      </c>
      <c r="R2864" s="72" t="s">
        <v>61</v>
      </c>
      <c r="S2864" s="75" t="str">
        <f t="shared" si="44"/>
        <v>VA_ISLE OF WIGHT</v>
      </c>
    </row>
    <row r="2865" spans="17:19" x14ac:dyDescent="0.2">
      <c r="Q2865" s="30" t="s">
        <v>1924</v>
      </c>
      <c r="R2865" s="71" t="s">
        <v>61</v>
      </c>
      <c r="S2865" s="75" t="str">
        <f t="shared" si="44"/>
        <v>VA_JAMES CITY</v>
      </c>
    </row>
    <row r="2866" spans="17:19" x14ac:dyDescent="0.2">
      <c r="Q2866" s="31" t="s">
        <v>1925</v>
      </c>
      <c r="R2866" s="72" t="s">
        <v>61</v>
      </c>
      <c r="S2866" s="75" t="str">
        <f t="shared" si="44"/>
        <v>VA_KING AND QUEEN</v>
      </c>
    </row>
    <row r="2867" spans="17:19" x14ac:dyDescent="0.2">
      <c r="Q2867" s="30" t="s">
        <v>1926</v>
      </c>
      <c r="R2867" s="71" t="s">
        <v>61</v>
      </c>
      <c r="S2867" s="75" t="str">
        <f t="shared" si="44"/>
        <v>VA_KING GEORGE</v>
      </c>
    </row>
    <row r="2868" spans="17:19" x14ac:dyDescent="0.2">
      <c r="Q2868" s="31" t="s">
        <v>1927</v>
      </c>
      <c r="R2868" s="72" t="s">
        <v>61</v>
      </c>
      <c r="S2868" s="75" t="str">
        <f t="shared" si="44"/>
        <v>VA_KING WILLIAM</v>
      </c>
    </row>
    <row r="2869" spans="17:19" x14ac:dyDescent="0.2">
      <c r="Q2869" s="30" t="s">
        <v>1305</v>
      </c>
      <c r="R2869" s="71" t="s">
        <v>61</v>
      </c>
      <c r="S2869" s="75" t="str">
        <f t="shared" si="44"/>
        <v>VA_LANCASTER</v>
      </c>
    </row>
    <row r="2870" spans="17:19" x14ac:dyDescent="0.2">
      <c r="Q2870" s="31" t="s">
        <v>237</v>
      </c>
      <c r="R2870" s="72" t="s">
        <v>61</v>
      </c>
      <c r="S2870" s="75" t="str">
        <f t="shared" si="44"/>
        <v>VA_LEE</v>
      </c>
    </row>
    <row r="2871" spans="17:19" x14ac:dyDescent="0.2">
      <c r="Q2871" s="30" t="s">
        <v>1928</v>
      </c>
      <c r="R2871" s="71" t="s">
        <v>61</v>
      </c>
      <c r="S2871" s="75" t="str">
        <f t="shared" si="44"/>
        <v>VA_LOUDOUN</v>
      </c>
    </row>
    <row r="2872" spans="17:19" x14ac:dyDescent="0.2">
      <c r="Q2872" s="31" t="s">
        <v>796</v>
      </c>
      <c r="R2872" s="72" t="s">
        <v>61</v>
      </c>
      <c r="S2872" s="75" t="str">
        <f t="shared" si="44"/>
        <v>VA_LOUISA</v>
      </c>
    </row>
    <row r="2873" spans="17:19" x14ac:dyDescent="0.2">
      <c r="Q2873" s="30" t="s">
        <v>1929</v>
      </c>
      <c r="R2873" s="71" t="s">
        <v>61</v>
      </c>
      <c r="S2873" s="75" t="str">
        <f t="shared" si="44"/>
        <v>VA_LUNENBURG</v>
      </c>
    </row>
    <row r="2874" spans="17:19" x14ac:dyDescent="0.2">
      <c r="Q2874" s="31" t="s">
        <v>241</v>
      </c>
      <c r="R2874" s="72" t="s">
        <v>61</v>
      </c>
      <c r="S2874" s="75" t="str">
        <f t="shared" si="44"/>
        <v>VA_MADISON</v>
      </c>
    </row>
    <row r="2875" spans="17:19" x14ac:dyDescent="0.2">
      <c r="Q2875" s="30" t="s">
        <v>1930</v>
      </c>
      <c r="R2875" s="71" t="s">
        <v>61</v>
      </c>
      <c r="S2875" s="75" t="str">
        <f t="shared" si="44"/>
        <v>VA_MATHEWS</v>
      </c>
    </row>
    <row r="2876" spans="17:19" x14ac:dyDescent="0.2">
      <c r="Q2876" s="31" t="s">
        <v>1442</v>
      </c>
      <c r="R2876" s="72" t="s">
        <v>61</v>
      </c>
      <c r="S2876" s="75" t="str">
        <f t="shared" si="44"/>
        <v>VA_MECKLENBURG</v>
      </c>
    </row>
    <row r="2877" spans="17:19" x14ac:dyDescent="0.2">
      <c r="Q2877" s="30" t="s">
        <v>474</v>
      </c>
      <c r="R2877" s="71" t="s">
        <v>61</v>
      </c>
      <c r="S2877" s="75" t="str">
        <f t="shared" si="44"/>
        <v>VA_MIDDLESEX</v>
      </c>
    </row>
    <row r="2878" spans="17:19" x14ac:dyDescent="0.2">
      <c r="Q2878" s="31" t="s">
        <v>247</v>
      </c>
      <c r="R2878" s="72" t="s">
        <v>61</v>
      </c>
      <c r="S2878" s="75" t="str">
        <f t="shared" si="44"/>
        <v>VA_MONTGOMERY</v>
      </c>
    </row>
    <row r="2879" spans="17:19" x14ac:dyDescent="0.2">
      <c r="Q2879" s="30" t="s">
        <v>927</v>
      </c>
      <c r="R2879" s="71" t="s">
        <v>61</v>
      </c>
      <c r="S2879" s="75" t="str">
        <f t="shared" si="44"/>
        <v>VA_NELSON</v>
      </c>
    </row>
    <row r="2880" spans="17:19" x14ac:dyDescent="0.2">
      <c r="Q2880" s="31" t="s">
        <v>1931</v>
      </c>
      <c r="R2880" s="72" t="s">
        <v>61</v>
      </c>
      <c r="S2880" s="75" t="str">
        <f t="shared" si="44"/>
        <v>VA_NEW KENT</v>
      </c>
    </row>
    <row r="2881" spans="17:19" x14ac:dyDescent="0.2">
      <c r="Q2881" s="30" t="s">
        <v>1446</v>
      </c>
      <c r="R2881" s="71" t="s">
        <v>61</v>
      </c>
      <c r="S2881" s="75" t="str">
        <f t="shared" si="44"/>
        <v>VA_NORTHAMPTON</v>
      </c>
    </row>
    <row r="2882" spans="17:19" x14ac:dyDescent="0.2">
      <c r="Q2882" s="31" t="s">
        <v>1617</v>
      </c>
      <c r="R2882" s="72" t="s">
        <v>61</v>
      </c>
      <c r="S2882" s="75" t="str">
        <f t="shared" si="44"/>
        <v>VA_NORTHUMBERLAND</v>
      </c>
    </row>
    <row r="2883" spans="17:19" x14ac:dyDescent="0.2">
      <c r="Q2883" s="30" t="s">
        <v>1932</v>
      </c>
      <c r="R2883" s="71" t="s">
        <v>61</v>
      </c>
      <c r="S2883" s="75" t="str">
        <f t="shared" si="44"/>
        <v>VA_NOTTOWAY</v>
      </c>
    </row>
    <row r="2884" spans="17:19" x14ac:dyDescent="0.2">
      <c r="Q2884" s="31" t="s">
        <v>389</v>
      </c>
      <c r="R2884" s="72" t="s">
        <v>61</v>
      </c>
      <c r="S2884" s="75" t="str">
        <f t="shared" ref="S2884:S2947" si="45">UPPER(CONCATENATE(TRIM(R2884),"_",TRIM(Q2884)))</f>
        <v>VA_ORANGE</v>
      </c>
    </row>
    <row r="2885" spans="17:19" x14ac:dyDescent="0.2">
      <c r="Q2885" s="30" t="s">
        <v>804</v>
      </c>
      <c r="R2885" s="71" t="s">
        <v>61</v>
      </c>
      <c r="S2885" s="75" t="str">
        <f t="shared" si="45"/>
        <v>VA_PAGE</v>
      </c>
    </row>
    <row r="2886" spans="17:19" x14ac:dyDescent="0.2">
      <c r="Q2886" s="31" t="s">
        <v>1933</v>
      </c>
      <c r="R2886" s="72" t="s">
        <v>61</v>
      </c>
      <c r="S2886" s="75" t="str">
        <f t="shared" si="45"/>
        <v>VA_PATRICK</v>
      </c>
    </row>
    <row r="2887" spans="17:19" x14ac:dyDescent="0.2">
      <c r="Q2887" s="30" t="s">
        <v>1934</v>
      </c>
      <c r="R2887" s="71" t="s">
        <v>61</v>
      </c>
      <c r="S2887" s="75" t="str">
        <f t="shared" si="45"/>
        <v>VA_PITTSYLVANIA</v>
      </c>
    </row>
    <row r="2888" spans="17:19" x14ac:dyDescent="0.2">
      <c r="Q2888" s="31" t="s">
        <v>1935</v>
      </c>
      <c r="R2888" s="72" t="s">
        <v>61</v>
      </c>
      <c r="S2888" s="75" t="str">
        <f t="shared" si="45"/>
        <v>VA_POWHATAN</v>
      </c>
    </row>
    <row r="2889" spans="17:19" x14ac:dyDescent="0.2">
      <c r="Q2889" s="30" t="s">
        <v>1936</v>
      </c>
      <c r="R2889" s="71" t="s">
        <v>61</v>
      </c>
      <c r="S2889" s="75" t="str">
        <f t="shared" si="45"/>
        <v>VA_PRINCE EDWARD</v>
      </c>
    </row>
    <row r="2890" spans="17:19" x14ac:dyDescent="0.2">
      <c r="Q2890" s="31" t="s">
        <v>1937</v>
      </c>
      <c r="R2890" s="72" t="s">
        <v>61</v>
      </c>
      <c r="S2890" s="75" t="str">
        <f t="shared" si="45"/>
        <v>VA_PRINCE GEORGE</v>
      </c>
    </row>
    <row r="2891" spans="17:19" x14ac:dyDescent="0.2">
      <c r="Q2891" s="30" t="s">
        <v>1938</v>
      </c>
      <c r="R2891" s="71" t="s">
        <v>61</v>
      </c>
      <c r="S2891" s="75" t="str">
        <f t="shared" si="45"/>
        <v>VA_PRINCE WILLIAM</v>
      </c>
    </row>
    <row r="2892" spans="17:19" x14ac:dyDescent="0.2">
      <c r="Q2892" s="31" t="s">
        <v>347</v>
      </c>
      <c r="R2892" s="72" t="s">
        <v>61</v>
      </c>
      <c r="S2892" s="75" t="str">
        <f t="shared" si="45"/>
        <v>VA_PULASKI</v>
      </c>
    </row>
    <row r="2893" spans="17:19" x14ac:dyDescent="0.2">
      <c r="Q2893" s="30" t="s">
        <v>1939</v>
      </c>
      <c r="R2893" s="71" t="s">
        <v>61</v>
      </c>
      <c r="S2893" s="75" t="str">
        <f t="shared" si="45"/>
        <v>VA_RAPPAHANNOCK</v>
      </c>
    </row>
    <row r="2894" spans="17:19" x14ac:dyDescent="0.2">
      <c r="Q2894" s="31" t="s">
        <v>611</v>
      </c>
      <c r="R2894" s="72" t="s">
        <v>61</v>
      </c>
      <c r="S2894" s="75" t="str">
        <f t="shared" si="45"/>
        <v>VA_RICHMOND</v>
      </c>
    </row>
    <row r="2895" spans="17:19" x14ac:dyDescent="0.2">
      <c r="Q2895" s="30" t="s">
        <v>1940</v>
      </c>
      <c r="R2895" s="71" t="s">
        <v>61</v>
      </c>
      <c r="S2895" s="75" t="str">
        <f t="shared" si="45"/>
        <v>VA_ROANOKE</v>
      </c>
    </row>
    <row r="2896" spans="17:19" x14ac:dyDescent="0.2">
      <c r="Q2896" s="31" t="s">
        <v>1941</v>
      </c>
      <c r="R2896" s="72" t="s">
        <v>61</v>
      </c>
      <c r="S2896" s="75" t="str">
        <f t="shared" si="45"/>
        <v>VA_ROCKBRIDGE</v>
      </c>
    </row>
    <row r="2897" spans="17:19" x14ac:dyDescent="0.2">
      <c r="Q2897" s="30" t="s">
        <v>1336</v>
      </c>
      <c r="R2897" s="71" t="s">
        <v>61</v>
      </c>
      <c r="S2897" s="75" t="str">
        <f t="shared" si="45"/>
        <v>VA_ROCKINGHAM</v>
      </c>
    </row>
    <row r="2898" spans="17:19" x14ac:dyDescent="0.2">
      <c r="Q2898" s="31" t="s">
        <v>253</v>
      </c>
      <c r="R2898" s="72" t="s">
        <v>61</v>
      </c>
      <c r="S2898" s="75" t="str">
        <f t="shared" si="45"/>
        <v>VA_RUSSELL</v>
      </c>
    </row>
    <row r="2899" spans="17:19" x14ac:dyDescent="0.2">
      <c r="Q2899" s="30" t="s">
        <v>350</v>
      </c>
      <c r="R2899" s="71" t="s">
        <v>61</v>
      </c>
      <c r="S2899" s="75" t="str">
        <f t="shared" si="45"/>
        <v>VA_SCOTT</v>
      </c>
    </row>
    <row r="2900" spans="17:19" x14ac:dyDescent="0.2">
      <c r="Q2900" s="31" t="s">
        <v>1942</v>
      </c>
      <c r="R2900" s="72" t="s">
        <v>61</v>
      </c>
      <c r="S2900" s="75" t="str">
        <f t="shared" si="45"/>
        <v>VA_SHENANDOAH</v>
      </c>
    </row>
    <row r="2901" spans="17:19" x14ac:dyDescent="0.2">
      <c r="Q2901" s="30" t="s">
        <v>1943</v>
      </c>
      <c r="R2901" s="71" t="s">
        <v>61</v>
      </c>
      <c r="S2901" s="75" t="str">
        <f t="shared" si="45"/>
        <v>VA_SMYTH</v>
      </c>
    </row>
    <row r="2902" spans="17:19" x14ac:dyDescent="0.2">
      <c r="Q2902" s="31" t="s">
        <v>1944</v>
      </c>
      <c r="R2902" s="72" t="s">
        <v>61</v>
      </c>
      <c r="S2902" s="75" t="str">
        <f t="shared" si="45"/>
        <v>VA_SOUTHAMPTON</v>
      </c>
    </row>
    <row r="2903" spans="17:19" x14ac:dyDescent="0.2">
      <c r="Q2903" s="30" t="s">
        <v>1945</v>
      </c>
      <c r="R2903" s="71" t="s">
        <v>61</v>
      </c>
      <c r="S2903" s="75" t="str">
        <f t="shared" si="45"/>
        <v>VA_SPOTSYLVANIA</v>
      </c>
    </row>
    <row r="2904" spans="17:19" x14ac:dyDescent="0.2">
      <c r="Q2904" s="31" t="s">
        <v>875</v>
      </c>
      <c r="R2904" s="72" t="s">
        <v>61</v>
      </c>
      <c r="S2904" s="75" t="str">
        <f t="shared" si="45"/>
        <v>VA_STAFFORD</v>
      </c>
    </row>
    <row r="2905" spans="17:19" x14ac:dyDescent="0.2">
      <c r="Q2905" s="30" t="s">
        <v>1459</v>
      </c>
      <c r="R2905" s="71" t="s">
        <v>61</v>
      </c>
      <c r="S2905" s="75" t="str">
        <f t="shared" si="45"/>
        <v>VA_SURRY</v>
      </c>
    </row>
    <row r="2906" spans="17:19" x14ac:dyDescent="0.2">
      <c r="Q2906" s="31" t="s">
        <v>481</v>
      </c>
      <c r="R2906" s="72" t="s">
        <v>61</v>
      </c>
      <c r="S2906" s="75" t="str">
        <f t="shared" si="45"/>
        <v>VA_SUSSEX</v>
      </c>
    </row>
    <row r="2907" spans="17:19" x14ac:dyDescent="0.2">
      <c r="Q2907" s="30" t="s">
        <v>725</v>
      </c>
      <c r="R2907" s="71" t="s">
        <v>61</v>
      </c>
      <c r="S2907" s="75" t="str">
        <f t="shared" si="45"/>
        <v>VA_TAZEWELL</v>
      </c>
    </row>
    <row r="2908" spans="17:19" x14ac:dyDescent="0.2">
      <c r="Q2908" s="31" t="s">
        <v>633</v>
      </c>
      <c r="R2908" s="72" t="s">
        <v>61</v>
      </c>
      <c r="S2908" s="75" t="str">
        <f t="shared" si="45"/>
        <v>VA_WARREN</v>
      </c>
    </row>
    <row r="2909" spans="17:19" x14ac:dyDescent="0.2">
      <c r="Q2909" s="30" t="s">
        <v>261</v>
      </c>
      <c r="R2909" s="71" t="s">
        <v>61</v>
      </c>
      <c r="S2909" s="75" t="str">
        <f t="shared" si="45"/>
        <v>VA_WASHINGTON</v>
      </c>
    </row>
    <row r="2910" spans="17:19" x14ac:dyDescent="0.2">
      <c r="Q2910" s="31" t="s">
        <v>1624</v>
      </c>
      <c r="R2910" s="72" t="s">
        <v>61</v>
      </c>
      <c r="S2910" s="75" t="str">
        <f t="shared" si="45"/>
        <v>VA_WESTMORELAND</v>
      </c>
    </row>
    <row r="2911" spans="17:19" x14ac:dyDescent="0.2">
      <c r="Q2911" s="30" t="s">
        <v>1873</v>
      </c>
      <c r="R2911" s="71" t="s">
        <v>61</v>
      </c>
      <c r="S2911" s="75" t="str">
        <f t="shared" si="45"/>
        <v>VA_WISE</v>
      </c>
    </row>
    <row r="2912" spans="17:19" x14ac:dyDescent="0.2">
      <c r="Q2912" s="31" t="s">
        <v>1946</v>
      </c>
      <c r="R2912" s="72" t="s">
        <v>61</v>
      </c>
      <c r="S2912" s="75" t="str">
        <f t="shared" si="45"/>
        <v>VA_WYTHE</v>
      </c>
    </row>
    <row r="2913" spans="17:19" x14ac:dyDescent="0.2">
      <c r="Q2913" s="30" t="s">
        <v>1014</v>
      </c>
      <c r="R2913" s="71" t="s">
        <v>61</v>
      </c>
      <c r="S2913" s="75" t="str">
        <f t="shared" si="45"/>
        <v>VA_YORK</v>
      </c>
    </row>
    <row r="2914" spans="17:19" x14ac:dyDescent="0.2">
      <c r="Q2914" s="31" t="s">
        <v>1947</v>
      </c>
      <c r="R2914" s="72" t="s">
        <v>61</v>
      </c>
      <c r="S2914" s="75" t="str">
        <f t="shared" si="45"/>
        <v>VA_ALEXANDRIA CITY</v>
      </c>
    </row>
    <row r="2915" spans="17:19" x14ac:dyDescent="0.2">
      <c r="Q2915" s="30" t="s">
        <v>1948</v>
      </c>
      <c r="R2915" s="71" t="s">
        <v>61</v>
      </c>
      <c r="S2915" s="75" t="str">
        <f t="shared" si="45"/>
        <v>VA_BEDFORD CITY</v>
      </c>
    </row>
    <row r="2916" spans="17:19" x14ac:dyDescent="0.2">
      <c r="Q2916" s="31" t="s">
        <v>1949</v>
      </c>
      <c r="R2916" s="72" t="s">
        <v>61</v>
      </c>
      <c r="S2916" s="75" t="str">
        <f t="shared" si="45"/>
        <v>VA_BRISTOL CITY</v>
      </c>
    </row>
    <row r="2917" spans="17:19" x14ac:dyDescent="0.2">
      <c r="Q2917" s="30" t="s">
        <v>1950</v>
      </c>
      <c r="R2917" s="71" t="s">
        <v>61</v>
      </c>
      <c r="S2917" s="75" t="str">
        <f t="shared" si="45"/>
        <v>VA_BUENA VISTA CITY</v>
      </c>
    </row>
    <row r="2918" spans="17:19" x14ac:dyDescent="0.2">
      <c r="Q2918" s="31" t="s">
        <v>1951</v>
      </c>
      <c r="R2918" s="72" t="s">
        <v>61</v>
      </c>
      <c r="S2918" s="75" t="str">
        <f t="shared" si="45"/>
        <v>VA_CHARLOTTESVILLE CITY</v>
      </c>
    </row>
    <row r="2919" spans="17:19" x14ac:dyDescent="0.2">
      <c r="Q2919" s="30" t="s">
        <v>1952</v>
      </c>
      <c r="R2919" s="71" t="s">
        <v>61</v>
      </c>
      <c r="S2919" s="75" t="str">
        <f t="shared" si="45"/>
        <v>VA_CHESAPEAKE CITY</v>
      </c>
    </row>
    <row r="2920" spans="17:19" x14ac:dyDescent="0.2">
      <c r="Q2920" s="31" t="s">
        <v>1953</v>
      </c>
      <c r="R2920" s="72" t="s">
        <v>61</v>
      </c>
      <c r="S2920" s="75" t="str">
        <f t="shared" si="45"/>
        <v>VA_CLIFTON FORGE CITY</v>
      </c>
    </row>
    <row r="2921" spans="17:19" x14ac:dyDescent="0.2">
      <c r="Q2921" s="30" t="s">
        <v>1954</v>
      </c>
      <c r="R2921" s="71" t="s">
        <v>61</v>
      </c>
      <c r="S2921" s="75" t="str">
        <f t="shared" si="45"/>
        <v>VA_COLONIAL HEIGHTS CITY</v>
      </c>
    </row>
    <row r="2922" spans="17:19" x14ac:dyDescent="0.2">
      <c r="Q2922" s="31" t="s">
        <v>1955</v>
      </c>
      <c r="R2922" s="72" t="s">
        <v>61</v>
      </c>
      <c r="S2922" s="75" t="str">
        <f t="shared" si="45"/>
        <v>VA_COVINGTON CITY</v>
      </c>
    </row>
    <row r="2923" spans="17:19" x14ac:dyDescent="0.2">
      <c r="Q2923" s="30" t="s">
        <v>1956</v>
      </c>
      <c r="R2923" s="71" t="s">
        <v>61</v>
      </c>
      <c r="S2923" s="75" t="str">
        <f t="shared" si="45"/>
        <v>VA_DANVILLE CITY</v>
      </c>
    </row>
    <row r="2924" spans="17:19" x14ac:dyDescent="0.2">
      <c r="Q2924" s="31" t="s">
        <v>1957</v>
      </c>
      <c r="R2924" s="72" t="s">
        <v>61</v>
      </c>
      <c r="S2924" s="75" t="str">
        <f t="shared" si="45"/>
        <v>VA_EMPORIA CITY</v>
      </c>
    </row>
    <row r="2925" spans="17:19" x14ac:dyDescent="0.2">
      <c r="Q2925" s="30" t="s">
        <v>1958</v>
      </c>
      <c r="R2925" s="71" t="s">
        <v>61</v>
      </c>
      <c r="S2925" s="75" t="str">
        <f t="shared" si="45"/>
        <v>VA_FAIRFAX CITY</v>
      </c>
    </row>
    <row r="2926" spans="17:19" x14ac:dyDescent="0.2">
      <c r="Q2926" s="31" t="s">
        <v>1959</v>
      </c>
      <c r="R2926" s="72" t="s">
        <v>61</v>
      </c>
      <c r="S2926" s="75" t="str">
        <f t="shared" si="45"/>
        <v>VA_FALLS CHURCH CITY</v>
      </c>
    </row>
    <row r="2927" spans="17:19" x14ac:dyDescent="0.2">
      <c r="Q2927" s="30" t="s">
        <v>1960</v>
      </c>
      <c r="R2927" s="71" t="s">
        <v>61</v>
      </c>
      <c r="S2927" s="75" t="str">
        <f t="shared" si="45"/>
        <v>VA_FRANKLIN CITY</v>
      </c>
    </row>
    <row r="2928" spans="17:19" x14ac:dyDescent="0.2">
      <c r="Q2928" s="31" t="s">
        <v>1961</v>
      </c>
      <c r="R2928" s="72" t="s">
        <v>61</v>
      </c>
      <c r="S2928" s="75" t="str">
        <f t="shared" si="45"/>
        <v>VA_FREDERICKSBURG CITY</v>
      </c>
    </row>
    <row r="2929" spans="17:19" x14ac:dyDescent="0.2">
      <c r="Q2929" s="30" t="s">
        <v>1962</v>
      </c>
      <c r="R2929" s="71" t="s">
        <v>61</v>
      </c>
      <c r="S2929" s="75" t="str">
        <f t="shared" si="45"/>
        <v>VA_GALAX CITY</v>
      </c>
    </row>
    <row r="2930" spans="17:19" x14ac:dyDescent="0.2">
      <c r="Q2930" s="31" t="s">
        <v>1963</v>
      </c>
      <c r="R2930" s="72" t="s">
        <v>61</v>
      </c>
      <c r="S2930" s="75" t="str">
        <f t="shared" si="45"/>
        <v>VA_HAMPTON CITY</v>
      </c>
    </row>
    <row r="2931" spans="17:19" x14ac:dyDescent="0.2">
      <c r="Q2931" s="30" t="s">
        <v>1964</v>
      </c>
      <c r="R2931" s="71" t="s">
        <v>61</v>
      </c>
      <c r="S2931" s="75" t="str">
        <f t="shared" si="45"/>
        <v>VA_HARRISONBURG CITY</v>
      </c>
    </row>
    <row r="2932" spans="17:19" x14ac:dyDescent="0.2">
      <c r="Q2932" s="31" t="s">
        <v>1965</v>
      </c>
      <c r="R2932" s="72" t="s">
        <v>61</v>
      </c>
      <c r="S2932" s="75" t="str">
        <f t="shared" si="45"/>
        <v>VA_HOPEWELL CITY</v>
      </c>
    </row>
    <row r="2933" spans="17:19" x14ac:dyDescent="0.2">
      <c r="Q2933" s="30" t="s">
        <v>1966</v>
      </c>
      <c r="R2933" s="71" t="s">
        <v>61</v>
      </c>
      <c r="S2933" s="75" t="str">
        <f t="shared" si="45"/>
        <v>VA_LEXINGTON CITY</v>
      </c>
    </row>
    <row r="2934" spans="17:19" x14ac:dyDescent="0.2">
      <c r="Q2934" s="31" t="s">
        <v>1967</v>
      </c>
      <c r="R2934" s="72" t="s">
        <v>61</v>
      </c>
      <c r="S2934" s="75" t="str">
        <f t="shared" si="45"/>
        <v>VA_LYNCHBURG CITY</v>
      </c>
    </row>
    <row r="2935" spans="17:19" x14ac:dyDescent="0.2">
      <c r="Q2935" s="30" t="s">
        <v>1968</v>
      </c>
      <c r="R2935" s="71" t="s">
        <v>61</v>
      </c>
      <c r="S2935" s="75" t="str">
        <f t="shared" si="45"/>
        <v>VA_MANASSAS CITY</v>
      </c>
    </row>
    <row r="2936" spans="17:19" x14ac:dyDescent="0.2">
      <c r="Q2936" s="31" t="s">
        <v>1969</v>
      </c>
      <c r="R2936" s="72" t="s">
        <v>61</v>
      </c>
      <c r="S2936" s="75" t="str">
        <f t="shared" si="45"/>
        <v>VA_MANASSAS PARK CITY</v>
      </c>
    </row>
    <row r="2937" spans="17:19" x14ac:dyDescent="0.2">
      <c r="Q2937" s="30" t="s">
        <v>1970</v>
      </c>
      <c r="R2937" s="71" t="s">
        <v>61</v>
      </c>
      <c r="S2937" s="75" t="str">
        <f t="shared" si="45"/>
        <v>VA_MARTINSVILLE CITY</v>
      </c>
    </row>
    <row r="2938" spans="17:19" x14ac:dyDescent="0.2">
      <c r="Q2938" s="31" t="s">
        <v>1971</v>
      </c>
      <c r="R2938" s="72" t="s">
        <v>61</v>
      </c>
      <c r="S2938" s="75" t="str">
        <f t="shared" si="45"/>
        <v>VA_NEWPORT NEWS CITY</v>
      </c>
    </row>
    <row r="2939" spans="17:19" x14ac:dyDescent="0.2">
      <c r="Q2939" s="30" t="s">
        <v>1972</v>
      </c>
      <c r="R2939" s="71" t="s">
        <v>61</v>
      </c>
      <c r="S2939" s="75" t="str">
        <f t="shared" si="45"/>
        <v>VA_NORFOLK CITY</v>
      </c>
    </row>
    <row r="2940" spans="17:19" x14ac:dyDescent="0.2">
      <c r="Q2940" s="31" t="s">
        <v>1973</v>
      </c>
      <c r="R2940" s="72" t="s">
        <v>61</v>
      </c>
      <c r="S2940" s="75" t="str">
        <f t="shared" si="45"/>
        <v>VA_NORTON CITY</v>
      </c>
    </row>
    <row r="2941" spans="17:19" x14ac:dyDescent="0.2">
      <c r="Q2941" s="30" t="s">
        <v>1974</v>
      </c>
      <c r="R2941" s="71" t="s">
        <v>61</v>
      </c>
      <c r="S2941" s="75" t="str">
        <f t="shared" si="45"/>
        <v>VA_PETERSBURG CITY</v>
      </c>
    </row>
    <row r="2942" spans="17:19" x14ac:dyDescent="0.2">
      <c r="Q2942" s="31" t="s">
        <v>1975</v>
      </c>
      <c r="R2942" s="72" t="s">
        <v>61</v>
      </c>
      <c r="S2942" s="75" t="str">
        <f t="shared" si="45"/>
        <v>VA_POQUOSON CITY</v>
      </c>
    </row>
    <row r="2943" spans="17:19" x14ac:dyDescent="0.2">
      <c r="Q2943" s="30" t="s">
        <v>1976</v>
      </c>
      <c r="R2943" s="71" t="s">
        <v>61</v>
      </c>
      <c r="S2943" s="75" t="str">
        <f t="shared" si="45"/>
        <v>VA_PORTSMOUTH CITY</v>
      </c>
    </row>
    <row r="2944" spans="17:19" x14ac:dyDescent="0.2">
      <c r="Q2944" s="31" t="s">
        <v>1977</v>
      </c>
      <c r="R2944" s="72" t="s">
        <v>61</v>
      </c>
      <c r="S2944" s="75" t="str">
        <f t="shared" si="45"/>
        <v>VA_RADFORD CITY</v>
      </c>
    </row>
    <row r="2945" spans="17:19" x14ac:dyDescent="0.2">
      <c r="Q2945" s="30" t="s">
        <v>1978</v>
      </c>
      <c r="R2945" s="71" t="s">
        <v>61</v>
      </c>
      <c r="S2945" s="75" t="str">
        <f t="shared" si="45"/>
        <v>VA_RICHMOND CITY</v>
      </c>
    </row>
    <row r="2946" spans="17:19" x14ac:dyDescent="0.2">
      <c r="Q2946" s="31" t="s">
        <v>1979</v>
      </c>
      <c r="R2946" s="72" t="s">
        <v>61</v>
      </c>
      <c r="S2946" s="75" t="str">
        <f t="shared" si="45"/>
        <v>VA_ROANOKE CITY</v>
      </c>
    </row>
    <row r="2947" spans="17:19" x14ac:dyDescent="0.2">
      <c r="Q2947" s="30" t="s">
        <v>1980</v>
      </c>
      <c r="R2947" s="71" t="s">
        <v>61</v>
      </c>
      <c r="S2947" s="75" t="str">
        <f t="shared" si="45"/>
        <v>VA_SALEM CITY</v>
      </c>
    </row>
    <row r="2948" spans="17:19" x14ac:dyDescent="0.2">
      <c r="Q2948" s="31" t="s">
        <v>1981</v>
      </c>
      <c r="R2948" s="72" t="s">
        <v>61</v>
      </c>
      <c r="S2948" s="75" t="str">
        <f t="shared" ref="S2948:S3011" si="46">UPPER(CONCATENATE(TRIM(R2948),"_",TRIM(Q2948)))</f>
        <v>VA_SOUTH BOSTON CITY</v>
      </c>
    </row>
    <row r="2949" spans="17:19" x14ac:dyDescent="0.2">
      <c r="Q2949" s="30" t="s">
        <v>1982</v>
      </c>
      <c r="R2949" s="71" t="s">
        <v>61</v>
      </c>
      <c r="S2949" s="75" t="str">
        <f t="shared" si="46"/>
        <v>VA_STAUNTON CITY</v>
      </c>
    </row>
    <row r="2950" spans="17:19" x14ac:dyDescent="0.2">
      <c r="Q2950" s="31" t="s">
        <v>1983</v>
      </c>
      <c r="R2950" s="72" t="s">
        <v>61</v>
      </c>
      <c r="S2950" s="75" t="str">
        <f t="shared" si="46"/>
        <v>VA_SUFFOLK CITY</v>
      </c>
    </row>
    <row r="2951" spans="17:19" x14ac:dyDescent="0.2">
      <c r="Q2951" s="30" t="s">
        <v>1984</v>
      </c>
      <c r="R2951" s="71" t="s">
        <v>61</v>
      </c>
      <c r="S2951" s="75" t="str">
        <f t="shared" si="46"/>
        <v>VA_VIRGINIA BEACH CITY</v>
      </c>
    </row>
    <row r="2952" spans="17:19" x14ac:dyDescent="0.2">
      <c r="Q2952" s="31" t="s">
        <v>1985</v>
      </c>
      <c r="R2952" s="72" t="s">
        <v>61</v>
      </c>
      <c r="S2952" s="75" t="str">
        <f t="shared" si="46"/>
        <v>VA_WAYNESBORO CITY</v>
      </c>
    </row>
    <row r="2953" spans="17:19" x14ac:dyDescent="0.2">
      <c r="Q2953" s="30" t="s">
        <v>1986</v>
      </c>
      <c r="R2953" s="71" t="s">
        <v>61</v>
      </c>
      <c r="S2953" s="75" t="str">
        <f t="shared" si="46"/>
        <v>VA_WILLIAMSBURG CITY</v>
      </c>
    </row>
    <row r="2954" spans="17:19" x14ac:dyDescent="0.2">
      <c r="Q2954" s="31" t="s">
        <v>1987</v>
      </c>
      <c r="R2954" s="72" t="s">
        <v>61</v>
      </c>
      <c r="S2954" s="75" t="str">
        <f t="shared" si="46"/>
        <v>VA_WINCHESTER CITY</v>
      </c>
    </row>
    <row r="2955" spans="17:19" x14ac:dyDescent="0.2">
      <c r="Q2955" s="30" t="s">
        <v>417</v>
      </c>
      <c r="R2955" s="71" t="s">
        <v>60</v>
      </c>
      <c r="S2955" s="75" t="str">
        <f t="shared" si="46"/>
        <v>WA_ADAMS</v>
      </c>
    </row>
    <row r="2956" spans="17:19" x14ac:dyDescent="0.2">
      <c r="Q2956" s="31" t="s">
        <v>1988</v>
      </c>
      <c r="R2956" s="72" t="s">
        <v>60</v>
      </c>
      <c r="S2956" s="75" t="str">
        <f t="shared" si="46"/>
        <v>WA_ASOTIN</v>
      </c>
    </row>
    <row r="2957" spans="17:19" x14ac:dyDescent="0.2">
      <c r="Q2957" s="30" t="s">
        <v>307</v>
      </c>
      <c r="R2957" s="71" t="s">
        <v>60</v>
      </c>
      <c r="S2957" s="75" t="str">
        <f t="shared" si="46"/>
        <v>WA_BENTON</v>
      </c>
    </row>
    <row r="2958" spans="17:19" x14ac:dyDescent="0.2">
      <c r="Q2958" s="31" t="s">
        <v>1989</v>
      </c>
      <c r="R2958" s="72" t="s">
        <v>60</v>
      </c>
      <c r="S2958" s="75" t="str">
        <f t="shared" si="46"/>
        <v>WA_CHELAN</v>
      </c>
    </row>
    <row r="2959" spans="17:19" x14ac:dyDescent="0.2">
      <c r="Q2959" s="30" t="s">
        <v>1990</v>
      </c>
      <c r="R2959" s="71" t="s">
        <v>60</v>
      </c>
      <c r="S2959" s="75" t="str">
        <f t="shared" si="46"/>
        <v>WA_CLALLAM</v>
      </c>
    </row>
    <row r="2960" spans="17:19" x14ac:dyDescent="0.2">
      <c r="Q2960" s="31" t="s">
        <v>312</v>
      </c>
      <c r="R2960" s="72" t="s">
        <v>60</v>
      </c>
      <c r="S2960" s="75" t="str">
        <f t="shared" si="46"/>
        <v>WA_CLARK</v>
      </c>
    </row>
    <row r="2961" spans="17:19" x14ac:dyDescent="0.2">
      <c r="Q2961" s="30" t="s">
        <v>314</v>
      </c>
      <c r="R2961" s="71" t="s">
        <v>60</v>
      </c>
      <c r="S2961" s="75" t="str">
        <f t="shared" si="46"/>
        <v>WA_COLUMBIA</v>
      </c>
    </row>
    <row r="2962" spans="17:19" x14ac:dyDescent="0.2">
      <c r="Q2962" s="31" t="s">
        <v>1991</v>
      </c>
      <c r="R2962" s="72" t="s">
        <v>60</v>
      </c>
      <c r="S2962" s="75" t="str">
        <f t="shared" si="46"/>
        <v>WA_COWLITZ</v>
      </c>
    </row>
    <row r="2963" spans="17:19" x14ac:dyDescent="0.2">
      <c r="Q2963" s="30" t="s">
        <v>434</v>
      </c>
      <c r="R2963" s="71" t="s">
        <v>60</v>
      </c>
      <c r="S2963" s="75" t="str">
        <f t="shared" si="46"/>
        <v>WA_DOUGLAS</v>
      </c>
    </row>
    <row r="2964" spans="17:19" x14ac:dyDescent="0.2">
      <c r="Q2964" s="31" t="s">
        <v>1992</v>
      </c>
      <c r="R2964" s="72" t="s">
        <v>60</v>
      </c>
      <c r="S2964" s="75" t="str">
        <f t="shared" si="46"/>
        <v>WA_FERRY</v>
      </c>
    </row>
    <row r="2965" spans="17:19" x14ac:dyDescent="0.2">
      <c r="Q2965" s="30" t="s">
        <v>226</v>
      </c>
      <c r="R2965" s="71" t="s">
        <v>60</v>
      </c>
      <c r="S2965" s="75" t="str">
        <f t="shared" si="46"/>
        <v>WA_FRANKLIN</v>
      </c>
    </row>
    <row r="2966" spans="17:19" x14ac:dyDescent="0.2">
      <c r="Q2966" s="31" t="s">
        <v>439</v>
      </c>
      <c r="R2966" s="72" t="s">
        <v>60</v>
      </c>
      <c r="S2966" s="75" t="str">
        <f t="shared" si="46"/>
        <v>WA_GARFIELD</v>
      </c>
    </row>
    <row r="2967" spans="17:19" x14ac:dyDescent="0.2">
      <c r="Q2967" s="30" t="s">
        <v>325</v>
      </c>
      <c r="R2967" s="71" t="s">
        <v>60</v>
      </c>
      <c r="S2967" s="75" t="str">
        <f t="shared" si="46"/>
        <v>WA_GRANT</v>
      </c>
    </row>
    <row r="2968" spans="17:19" x14ac:dyDescent="0.2">
      <c r="Q2968" s="31" t="s">
        <v>1993</v>
      </c>
      <c r="R2968" s="72" t="s">
        <v>60</v>
      </c>
      <c r="S2968" s="75" t="str">
        <f t="shared" si="46"/>
        <v>WA_GRAYS HARBOR</v>
      </c>
    </row>
    <row r="2969" spans="17:19" x14ac:dyDescent="0.2">
      <c r="Q2969" s="30" t="s">
        <v>1994</v>
      </c>
      <c r="R2969" s="71" t="s">
        <v>60</v>
      </c>
      <c r="S2969" s="75" t="str">
        <f t="shared" si="46"/>
        <v>WA_ISLAND</v>
      </c>
    </row>
    <row r="2970" spans="17:19" x14ac:dyDescent="0.2">
      <c r="Q2970" s="31" t="s">
        <v>233</v>
      </c>
      <c r="R2970" s="72" t="s">
        <v>60</v>
      </c>
      <c r="S2970" s="75" t="str">
        <f t="shared" si="46"/>
        <v>WA_JEFFERSON</v>
      </c>
    </row>
    <row r="2971" spans="17:19" x14ac:dyDescent="0.2">
      <c r="Q2971" s="30" t="s">
        <v>1800</v>
      </c>
      <c r="R2971" s="71" t="s">
        <v>60</v>
      </c>
      <c r="S2971" s="75" t="str">
        <f t="shared" si="46"/>
        <v>WA_KING</v>
      </c>
    </row>
    <row r="2972" spans="17:19" x14ac:dyDescent="0.2">
      <c r="Q2972" s="31" t="s">
        <v>1995</v>
      </c>
      <c r="R2972" s="72" t="s">
        <v>60</v>
      </c>
      <c r="S2972" s="75" t="str">
        <f t="shared" si="46"/>
        <v>WA_KITSAP</v>
      </c>
    </row>
    <row r="2973" spans="17:19" x14ac:dyDescent="0.2">
      <c r="Q2973" s="30" t="s">
        <v>1996</v>
      </c>
      <c r="R2973" s="71" t="s">
        <v>60</v>
      </c>
      <c r="S2973" s="75" t="str">
        <f t="shared" si="46"/>
        <v>WA_KITTITAS</v>
      </c>
    </row>
    <row r="2974" spans="17:19" x14ac:dyDescent="0.2">
      <c r="Q2974" s="31" t="s">
        <v>1997</v>
      </c>
      <c r="R2974" s="72" t="s">
        <v>60</v>
      </c>
      <c r="S2974" s="75" t="str">
        <f t="shared" si="46"/>
        <v>WA_KLICKITAT</v>
      </c>
    </row>
    <row r="2975" spans="17:19" x14ac:dyDescent="0.2">
      <c r="Q2975" s="30" t="s">
        <v>668</v>
      </c>
      <c r="R2975" s="71" t="s">
        <v>60</v>
      </c>
      <c r="S2975" s="75" t="str">
        <f t="shared" si="46"/>
        <v>WA_LEWIS</v>
      </c>
    </row>
    <row r="2976" spans="17:19" x14ac:dyDescent="0.2">
      <c r="Q2976" s="31" t="s">
        <v>333</v>
      </c>
      <c r="R2976" s="72" t="s">
        <v>60</v>
      </c>
      <c r="S2976" s="75" t="str">
        <f t="shared" si="46"/>
        <v>WA_LINCOLN</v>
      </c>
    </row>
    <row r="2977" spans="17:19" x14ac:dyDescent="0.2">
      <c r="Q2977" s="30" t="s">
        <v>711</v>
      </c>
      <c r="R2977" s="71" t="s">
        <v>60</v>
      </c>
      <c r="S2977" s="75" t="str">
        <f t="shared" si="46"/>
        <v>WA_MASON</v>
      </c>
    </row>
    <row r="2978" spans="17:19" x14ac:dyDescent="0.2">
      <c r="Q2978" s="31" t="s">
        <v>1998</v>
      </c>
      <c r="R2978" s="72" t="s">
        <v>60</v>
      </c>
      <c r="S2978" s="75" t="str">
        <f t="shared" si="46"/>
        <v>WA_OKANOGAN</v>
      </c>
    </row>
    <row r="2979" spans="17:19" x14ac:dyDescent="0.2">
      <c r="Q2979" s="30" t="s">
        <v>1999</v>
      </c>
      <c r="R2979" s="71" t="s">
        <v>60</v>
      </c>
      <c r="S2979" s="75" t="str">
        <f t="shared" si="46"/>
        <v>WA_PACIFIC</v>
      </c>
    </row>
    <row r="2980" spans="17:19" x14ac:dyDescent="0.2">
      <c r="Q2980" s="31" t="s">
        <v>2000</v>
      </c>
      <c r="R2980" s="72" t="s">
        <v>60</v>
      </c>
      <c r="S2980" s="75" t="str">
        <f t="shared" si="46"/>
        <v>WA_PEND OREILLE</v>
      </c>
    </row>
    <row r="2981" spans="17:19" x14ac:dyDescent="0.2">
      <c r="Q2981" s="30" t="s">
        <v>608</v>
      </c>
      <c r="R2981" s="71" t="s">
        <v>60</v>
      </c>
      <c r="S2981" s="75" t="str">
        <f t="shared" si="46"/>
        <v>WA_PIERCE</v>
      </c>
    </row>
    <row r="2982" spans="17:19" x14ac:dyDescent="0.2">
      <c r="Q2982" s="31" t="s">
        <v>465</v>
      </c>
      <c r="R2982" s="72" t="s">
        <v>60</v>
      </c>
      <c r="S2982" s="75" t="str">
        <f t="shared" si="46"/>
        <v>WA_SAN JUAN</v>
      </c>
    </row>
    <row r="2983" spans="17:19" x14ac:dyDescent="0.2">
      <c r="Q2983" s="30" t="s">
        <v>2001</v>
      </c>
      <c r="R2983" s="71" t="s">
        <v>60</v>
      </c>
      <c r="S2983" s="75" t="str">
        <f t="shared" si="46"/>
        <v>WA_SKAGIT</v>
      </c>
    </row>
    <row r="2984" spans="17:19" x14ac:dyDescent="0.2">
      <c r="Q2984" s="31" t="s">
        <v>2002</v>
      </c>
      <c r="R2984" s="72" t="s">
        <v>60</v>
      </c>
      <c r="S2984" s="75" t="str">
        <f t="shared" si="46"/>
        <v>WA_SKAMANIA</v>
      </c>
    </row>
    <row r="2985" spans="17:19" x14ac:dyDescent="0.2">
      <c r="Q2985" s="30" t="s">
        <v>2003</v>
      </c>
      <c r="R2985" s="71" t="s">
        <v>60</v>
      </c>
      <c r="S2985" s="75" t="str">
        <f t="shared" si="46"/>
        <v>WA_SNOHOMISH</v>
      </c>
    </row>
    <row r="2986" spans="17:19" x14ac:dyDescent="0.2">
      <c r="Q2986" s="31" t="s">
        <v>2004</v>
      </c>
      <c r="R2986" s="72" t="s">
        <v>60</v>
      </c>
      <c r="S2986" s="75" t="str">
        <f t="shared" si="46"/>
        <v>WA_SPOKANE</v>
      </c>
    </row>
    <row r="2987" spans="17:19" x14ac:dyDescent="0.2">
      <c r="Q2987" s="30" t="s">
        <v>877</v>
      </c>
      <c r="R2987" s="71" t="s">
        <v>60</v>
      </c>
      <c r="S2987" s="75" t="str">
        <f t="shared" si="46"/>
        <v>WA_STEVENS</v>
      </c>
    </row>
    <row r="2988" spans="17:19" x14ac:dyDescent="0.2">
      <c r="Q2988" s="31" t="s">
        <v>1319</v>
      </c>
      <c r="R2988" s="72" t="s">
        <v>60</v>
      </c>
      <c r="S2988" s="75" t="str">
        <f t="shared" si="46"/>
        <v>WA_THURSTON</v>
      </c>
    </row>
    <row r="2989" spans="17:19" x14ac:dyDescent="0.2">
      <c r="Q2989" s="30" t="s">
        <v>2005</v>
      </c>
      <c r="R2989" s="71" t="s">
        <v>60</v>
      </c>
      <c r="S2989" s="75" t="str">
        <f t="shared" si="46"/>
        <v>WA_WAHKIAKUM</v>
      </c>
    </row>
    <row r="2990" spans="17:19" x14ac:dyDescent="0.2">
      <c r="Q2990" s="31" t="s">
        <v>2006</v>
      </c>
      <c r="R2990" s="72" t="s">
        <v>60</v>
      </c>
      <c r="S2990" s="75" t="str">
        <f t="shared" si="46"/>
        <v>WA_WALLA WALLA</v>
      </c>
    </row>
    <row r="2991" spans="17:19" x14ac:dyDescent="0.2">
      <c r="Q2991" s="30" t="s">
        <v>2007</v>
      </c>
      <c r="R2991" s="71" t="s">
        <v>60</v>
      </c>
      <c r="S2991" s="75" t="str">
        <f t="shared" si="46"/>
        <v>WA_WHATCOM</v>
      </c>
    </row>
    <row r="2992" spans="17:19" x14ac:dyDescent="0.2">
      <c r="Q2992" s="31" t="s">
        <v>2008</v>
      </c>
      <c r="R2992" s="72" t="s">
        <v>60</v>
      </c>
      <c r="S2992" s="75" t="str">
        <f t="shared" si="46"/>
        <v>WA_WHITMAN</v>
      </c>
    </row>
    <row r="2993" spans="17:19" x14ac:dyDescent="0.2">
      <c r="Q2993" s="30" t="s">
        <v>2009</v>
      </c>
      <c r="R2993" s="71" t="s">
        <v>60</v>
      </c>
      <c r="S2993" s="75" t="str">
        <f t="shared" si="46"/>
        <v>WA_YAKIMA</v>
      </c>
    </row>
    <row r="2994" spans="17:19" x14ac:dyDescent="0.2">
      <c r="Q2994" s="31" t="s">
        <v>199</v>
      </c>
      <c r="R2994" s="72" t="s">
        <v>59</v>
      </c>
      <c r="S2994" s="75" t="str">
        <f t="shared" si="46"/>
        <v>WV_BARBOUR</v>
      </c>
    </row>
    <row r="2995" spans="17:19" x14ac:dyDescent="0.2">
      <c r="Q2995" s="30" t="s">
        <v>1632</v>
      </c>
      <c r="R2995" s="71" t="s">
        <v>59</v>
      </c>
      <c r="S2995" s="75" t="str">
        <f t="shared" si="46"/>
        <v>WV_BERKELEY</v>
      </c>
    </row>
    <row r="2996" spans="17:19" x14ac:dyDescent="0.2">
      <c r="Q2996" s="31" t="s">
        <v>308</v>
      </c>
      <c r="R2996" s="72" t="s">
        <v>59</v>
      </c>
      <c r="S2996" s="75" t="str">
        <f t="shared" si="46"/>
        <v>WV_BOONE</v>
      </c>
    </row>
    <row r="2997" spans="17:19" x14ac:dyDescent="0.2">
      <c r="Q2997" s="30" t="s">
        <v>2010</v>
      </c>
      <c r="R2997" s="71" t="s">
        <v>59</v>
      </c>
      <c r="S2997" s="75" t="str">
        <f t="shared" si="46"/>
        <v>WV_BRAXTON</v>
      </c>
    </row>
    <row r="2998" spans="17:19" x14ac:dyDescent="0.2">
      <c r="Q2998" s="31" t="s">
        <v>2011</v>
      </c>
      <c r="R2998" s="72" t="s">
        <v>59</v>
      </c>
      <c r="S2998" s="75" t="str">
        <f t="shared" si="46"/>
        <v>WV_BROOKE</v>
      </c>
    </row>
    <row r="2999" spans="17:19" x14ac:dyDescent="0.2">
      <c r="Q2999" s="30" t="s">
        <v>2012</v>
      </c>
      <c r="R2999" s="71" t="s">
        <v>59</v>
      </c>
      <c r="S2999" s="75" t="str">
        <f t="shared" si="46"/>
        <v>WV_CABELL</v>
      </c>
    </row>
    <row r="3000" spans="17:19" x14ac:dyDescent="0.2">
      <c r="Q3000" s="31" t="s">
        <v>204</v>
      </c>
      <c r="R3000" s="72" t="s">
        <v>59</v>
      </c>
      <c r="S3000" s="75" t="str">
        <f t="shared" si="46"/>
        <v>WV_CALHOUN</v>
      </c>
    </row>
    <row r="3001" spans="17:19" x14ac:dyDescent="0.2">
      <c r="Q3001" s="30" t="s">
        <v>210</v>
      </c>
      <c r="R3001" s="71" t="s">
        <v>59</v>
      </c>
      <c r="S3001" s="75" t="str">
        <f t="shared" si="46"/>
        <v>WV_CLAY</v>
      </c>
    </row>
    <row r="3002" spans="17:19" x14ac:dyDescent="0.2">
      <c r="Q3002" s="31" t="s">
        <v>2013</v>
      </c>
      <c r="R3002" s="72" t="s">
        <v>59</v>
      </c>
      <c r="S3002" s="75" t="str">
        <f t="shared" si="46"/>
        <v>WV_DODDRIDGE</v>
      </c>
    </row>
    <row r="3003" spans="17:19" x14ac:dyDescent="0.2">
      <c r="Q3003" s="30" t="s">
        <v>225</v>
      </c>
      <c r="R3003" s="71" t="s">
        <v>59</v>
      </c>
      <c r="S3003" s="75" t="str">
        <f t="shared" si="46"/>
        <v>WV_FAYETTE</v>
      </c>
    </row>
    <row r="3004" spans="17:19" x14ac:dyDescent="0.2">
      <c r="Q3004" s="31" t="s">
        <v>576</v>
      </c>
      <c r="R3004" s="72" t="s">
        <v>59</v>
      </c>
      <c r="S3004" s="75" t="str">
        <f t="shared" si="46"/>
        <v>WV_GILMER</v>
      </c>
    </row>
    <row r="3005" spans="17:19" x14ac:dyDescent="0.2">
      <c r="Q3005" s="30" t="s">
        <v>325</v>
      </c>
      <c r="R3005" s="71" t="s">
        <v>59</v>
      </c>
      <c r="S3005" s="75" t="str">
        <f t="shared" si="46"/>
        <v>WV_GRANT</v>
      </c>
    </row>
    <row r="3006" spans="17:19" x14ac:dyDescent="0.2">
      <c r="Q3006" s="31" t="s">
        <v>2014</v>
      </c>
      <c r="R3006" s="72" t="s">
        <v>59</v>
      </c>
      <c r="S3006" s="75" t="str">
        <f t="shared" si="46"/>
        <v>WV_GREENBRIER</v>
      </c>
    </row>
    <row r="3007" spans="17:19" x14ac:dyDescent="0.2">
      <c r="Q3007" s="30" t="s">
        <v>1038</v>
      </c>
      <c r="R3007" s="71" t="s">
        <v>59</v>
      </c>
      <c r="S3007" s="75" t="str">
        <f t="shared" si="46"/>
        <v>WV_HAMPSHIRE</v>
      </c>
    </row>
    <row r="3008" spans="17:19" x14ac:dyDescent="0.2">
      <c r="Q3008" s="31" t="s">
        <v>584</v>
      </c>
      <c r="R3008" s="72" t="s">
        <v>59</v>
      </c>
      <c r="S3008" s="75" t="str">
        <f t="shared" si="46"/>
        <v>WV_HANCOCK</v>
      </c>
    </row>
    <row r="3009" spans="17:19" x14ac:dyDescent="0.2">
      <c r="Q3009" s="30" t="s">
        <v>2015</v>
      </c>
      <c r="R3009" s="71" t="s">
        <v>59</v>
      </c>
      <c r="S3009" s="75" t="str">
        <f t="shared" si="46"/>
        <v>WV_HARDY</v>
      </c>
    </row>
    <row r="3010" spans="17:19" x14ac:dyDescent="0.2">
      <c r="Q3010" s="31" t="s">
        <v>743</v>
      </c>
      <c r="R3010" s="72" t="s">
        <v>59</v>
      </c>
      <c r="S3010" s="75" t="str">
        <f t="shared" si="46"/>
        <v>WV_HARRISON</v>
      </c>
    </row>
    <row r="3011" spans="17:19" x14ac:dyDescent="0.2">
      <c r="Q3011" s="30" t="s">
        <v>232</v>
      </c>
      <c r="R3011" s="71" t="s">
        <v>59</v>
      </c>
      <c r="S3011" s="75" t="str">
        <f t="shared" si="46"/>
        <v>WV_JACKSON</v>
      </c>
    </row>
    <row r="3012" spans="17:19" x14ac:dyDescent="0.2">
      <c r="Q3012" s="31" t="s">
        <v>233</v>
      </c>
      <c r="R3012" s="72" t="s">
        <v>59</v>
      </c>
      <c r="S3012" s="75" t="str">
        <f t="shared" ref="S3012:S3075" si="47">UPPER(CONCATENATE(TRIM(R3012),"_",TRIM(Q3012)))</f>
        <v>WV_JEFFERSON</v>
      </c>
    </row>
    <row r="3013" spans="17:19" x14ac:dyDescent="0.2">
      <c r="Q3013" s="30" t="s">
        <v>2016</v>
      </c>
      <c r="R3013" s="71" t="s">
        <v>59</v>
      </c>
      <c r="S3013" s="75" t="str">
        <f t="shared" si="47"/>
        <v>WV_KANAWHA</v>
      </c>
    </row>
    <row r="3014" spans="17:19" x14ac:dyDescent="0.2">
      <c r="Q3014" s="31" t="s">
        <v>668</v>
      </c>
      <c r="R3014" s="72" t="s">
        <v>59</v>
      </c>
      <c r="S3014" s="75" t="str">
        <f t="shared" si="47"/>
        <v>WV_LEWIS</v>
      </c>
    </row>
    <row r="3015" spans="17:19" x14ac:dyDescent="0.2">
      <c r="Q3015" s="30" t="s">
        <v>333</v>
      </c>
      <c r="R3015" s="71" t="s">
        <v>59</v>
      </c>
      <c r="S3015" s="75" t="str">
        <f t="shared" si="47"/>
        <v>WV_LINCOLN</v>
      </c>
    </row>
    <row r="3016" spans="17:19" x14ac:dyDescent="0.2">
      <c r="Q3016" s="31" t="s">
        <v>335</v>
      </c>
      <c r="R3016" s="72" t="s">
        <v>59</v>
      </c>
      <c r="S3016" s="75" t="str">
        <f t="shared" si="47"/>
        <v>WV_LOGAN</v>
      </c>
    </row>
    <row r="3017" spans="17:19" x14ac:dyDescent="0.2">
      <c r="Q3017" s="30" t="s">
        <v>1441</v>
      </c>
      <c r="R3017" s="71" t="s">
        <v>59</v>
      </c>
      <c r="S3017" s="75" t="str">
        <f t="shared" si="47"/>
        <v>WV_MCDOWELL</v>
      </c>
    </row>
    <row r="3018" spans="17:19" x14ac:dyDescent="0.2">
      <c r="Q3018" s="31" t="s">
        <v>243</v>
      </c>
      <c r="R3018" s="72" t="s">
        <v>59</v>
      </c>
      <c r="S3018" s="75" t="str">
        <f t="shared" si="47"/>
        <v>WV_MARION</v>
      </c>
    </row>
    <row r="3019" spans="17:19" x14ac:dyDescent="0.2">
      <c r="Q3019" s="30" t="s">
        <v>244</v>
      </c>
      <c r="R3019" s="71" t="s">
        <v>59</v>
      </c>
      <c r="S3019" s="75" t="str">
        <f t="shared" si="47"/>
        <v>WV_MARSHALL</v>
      </c>
    </row>
    <row r="3020" spans="17:19" x14ac:dyDescent="0.2">
      <c r="Q3020" s="31" t="s">
        <v>711</v>
      </c>
      <c r="R3020" s="72" t="s">
        <v>59</v>
      </c>
      <c r="S3020" s="75" t="str">
        <f t="shared" si="47"/>
        <v>WV_MASON</v>
      </c>
    </row>
    <row r="3021" spans="17:19" x14ac:dyDescent="0.2">
      <c r="Q3021" s="30" t="s">
        <v>714</v>
      </c>
      <c r="R3021" s="71" t="s">
        <v>59</v>
      </c>
      <c r="S3021" s="75" t="str">
        <f t="shared" si="47"/>
        <v>WV_MERCER</v>
      </c>
    </row>
    <row r="3022" spans="17:19" x14ac:dyDescent="0.2">
      <c r="Q3022" s="31" t="s">
        <v>451</v>
      </c>
      <c r="R3022" s="72" t="s">
        <v>59</v>
      </c>
      <c r="S3022" s="75" t="str">
        <f t="shared" si="47"/>
        <v>WV_MINERAL</v>
      </c>
    </row>
    <row r="3023" spans="17:19" x14ac:dyDescent="0.2">
      <c r="Q3023" s="30" t="s">
        <v>2017</v>
      </c>
      <c r="R3023" s="71" t="s">
        <v>59</v>
      </c>
      <c r="S3023" s="75" t="str">
        <f t="shared" si="47"/>
        <v>WV_MINGO</v>
      </c>
    </row>
    <row r="3024" spans="17:19" x14ac:dyDescent="0.2">
      <c r="Q3024" s="31" t="s">
        <v>2018</v>
      </c>
      <c r="R3024" s="72" t="s">
        <v>59</v>
      </c>
      <c r="S3024" s="75" t="str">
        <f t="shared" si="47"/>
        <v>WV_MONONGALIA</v>
      </c>
    </row>
    <row r="3025" spans="17:19" x14ac:dyDescent="0.2">
      <c r="Q3025" s="30" t="s">
        <v>246</v>
      </c>
      <c r="R3025" s="71" t="s">
        <v>59</v>
      </c>
      <c r="S3025" s="75" t="str">
        <f t="shared" si="47"/>
        <v>WV_MONROE</v>
      </c>
    </row>
    <row r="3026" spans="17:19" x14ac:dyDescent="0.2">
      <c r="Q3026" s="31" t="s">
        <v>248</v>
      </c>
      <c r="R3026" s="72" t="s">
        <v>59</v>
      </c>
      <c r="S3026" s="75" t="str">
        <f t="shared" si="47"/>
        <v>WV_MORGAN</v>
      </c>
    </row>
    <row r="3027" spans="17:19" x14ac:dyDescent="0.2">
      <c r="Q3027" s="30" t="s">
        <v>928</v>
      </c>
      <c r="R3027" s="71" t="s">
        <v>59</v>
      </c>
      <c r="S3027" s="75" t="str">
        <f t="shared" si="47"/>
        <v>WV_NICHOLAS</v>
      </c>
    </row>
    <row r="3028" spans="17:19" x14ac:dyDescent="0.2">
      <c r="Q3028" s="31" t="s">
        <v>753</v>
      </c>
      <c r="R3028" s="72" t="s">
        <v>59</v>
      </c>
      <c r="S3028" s="75" t="str">
        <f t="shared" si="47"/>
        <v>WV_OHIO</v>
      </c>
    </row>
    <row r="3029" spans="17:19" x14ac:dyDescent="0.2">
      <c r="Q3029" s="30" t="s">
        <v>931</v>
      </c>
      <c r="R3029" s="71" t="s">
        <v>59</v>
      </c>
      <c r="S3029" s="75" t="str">
        <f t="shared" si="47"/>
        <v>WV_PENDLETON</v>
      </c>
    </row>
    <row r="3030" spans="17:19" x14ac:dyDescent="0.2">
      <c r="Q3030" s="31" t="s">
        <v>2019</v>
      </c>
      <c r="R3030" s="72" t="s">
        <v>59</v>
      </c>
      <c r="S3030" s="75" t="str">
        <f t="shared" si="47"/>
        <v>WV_PLEASANTS</v>
      </c>
    </row>
    <row r="3031" spans="17:19" x14ac:dyDescent="0.2">
      <c r="Q3031" s="30" t="s">
        <v>807</v>
      </c>
      <c r="R3031" s="71" t="s">
        <v>59</v>
      </c>
      <c r="S3031" s="75" t="str">
        <f t="shared" si="47"/>
        <v>WV_POCAHONTAS</v>
      </c>
    </row>
    <row r="3032" spans="17:19" x14ac:dyDescent="0.2">
      <c r="Q3032" s="31" t="s">
        <v>2020</v>
      </c>
      <c r="R3032" s="72" t="s">
        <v>59</v>
      </c>
      <c r="S3032" s="75" t="str">
        <f t="shared" si="47"/>
        <v>WV_PRESTON</v>
      </c>
    </row>
    <row r="3033" spans="17:19" x14ac:dyDescent="0.2">
      <c r="Q3033" s="30" t="s">
        <v>522</v>
      </c>
      <c r="R3033" s="71" t="s">
        <v>59</v>
      </c>
      <c r="S3033" s="75" t="str">
        <f t="shared" si="47"/>
        <v>WV_PUTNAM</v>
      </c>
    </row>
    <row r="3034" spans="17:19" x14ac:dyDescent="0.2">
      <c r="Q3034" s="31" t="s">
        <v>2021</v>
      </c>
      <c r="R3034" s="72" t="s">
        <v>59</v>
      </c>
      <c r="S3034" s="75" t="str">
        <f t="shared" si="47"/>
        <v>WV_RALEIGH</v>
      </c>
    </row>
    <row r="3035" spans="17:19" x14ac:dyDescent="0.2">
      <c r="Q3035" s="30" t="s">
        <v>252</v>
      </c>
      <c r="R3035" s="71" t="s">
        <v>59</v>
      </c>
      <c r="S3035" s="75" t="str">
        <f t="shared" si="47"/>
        <v>WV_RANDOLPH</v>
      </c>
    </row>
    <row r="3036" spans="17:19" x14ac:dyDescent="0.2">
      <c r="Q3036" s="31" t="s">
        <v>2022</v>
      </c>
      <c r="R3036" s="72" t="s">
        <v>59</v>
      </c>
      <c r="S3036" s="75" t="str">
        <f t="shared" si="47"/>
        <v>WV_RITCHIE</v>
      </c>
    </row>
    <row r="3037" spans="17:19" x14ac:dyDescent="0.2">
      <c r="Q3037" s="30" t="s">
        <v>1712</v>
      </c>
      <c r="R3037" s="71" t="s">
        <v>59</v>
      </c>
      <c r="S3037" s="75" t="str">
        <f t="shared" si="47"/>
        <v>WV_ROANE</v>
      </c>
    </row>
    <row r="3038" spans="17:19" x14ac:dyDescent="0.2">
      <c r="Q3038" s="31" t="s">
        <v>2023</v>
      </c>
      <c r="R3038" s="72" t="s">
        <v>59</v>
      </c>
      <c r="S3038" s="75" t="str">
        <f t="shared" si="47"/>
        <v>WV_SUMMERS</v>
      </c>
    </row>
    <row r="3039" spans="17:19" x14ac:dyDescent="0.2">
      <c r="Q3039" s="30" t="s">
        <v>529</v>
      </c>
      <c r="R3039" s="71" t="s">
        <v>59</v>
      </c>
      <c r="S3039" s="75" t="str">
        <f t="shared" si="47"/>
        <v>WV_TAYLOR</v>
      </c>
    </row>
    <row r="3040" spans="17:19" x14ac:dyDescent="0.2">
      <c r="Q3040" s="31" t="s">
        <v>2024</v>
      </c>
      <c r="R3040" s="72" t="s">
        <v>59</v>
      </c>
      <c r="S3040" s="75" t="str">
        <f t="shared" si="47"/>
        <v>WV_TUCKER</v>
      </c>
    </row>
    <row r="3041" spans="17:19" x14ac:dyDescent="0.2">
      <c r="Q3041" s="30" t="s">
        <v>1860</v>
      </c>
      <c r="R3041" s="71" t="s">
        <v>59</v>
      </c>
      <c r="S3041" s="75" t="str">
        <f t="shared" si="47"/>
        <v>WV_TYLER</v>
      </c>
    </row>
    <row r="3042" spans="17:19" x14ac:dyDescent="0.2">
      <c r="Q3042" s="31" t="s">
        <v>1861</v>
      </c>
      <c r="R3042" s="72" t="s">
        <v>59</v>
      </c>
      <c r="S3042" s="75" t="str">
        <f t="shared" si="47"/>
        <v>WV_UPSHUR</v>
      </c>
    </row>
    <row r="3043" spans="17:19" x14ac:dyDescent="0.2">
      <c r="Q3043" s="30" t="s">
        <v>634</v>
      </c>
      <c r="R3043" s="71" t="s">
        <v>59</v>
      </c>
      <c r="S3043" s="75" t="str">
        <f t="shared" si="47"/>
        <v>WV_WAYNE</v>
      </c>
    </row>
    <row r="3044" spans="17:19" x14ac:dyDescent="0.2">
      <c r="Q3044" s="31" t="s">
        <v>635</v>
      </c>
      <c r="R3044" s="72" t="s">
        <v>59</v>
      </c>
      <c r="S3044" s="75" t="str">
        <f t="shared" si="47"/>
        <v>WV_WEBSTER</v>
      </c>
    </row>
    <row r="3045" spans="17:19" x14ac:dyDescent="0.2">
      <c r="Q3045" s="30" t="s">
        <v>2025</v>
      </c>
      <c r="R3045" s="71" t="s">
        <v>59</v>
      </c>
      <c r="S3045" s="75" t="str">
        <f t="shared" si="47"/>
        <v>WV_WETZEL</v>
      </c>
    </row>
    <row r="3046" spans="17:19" x14ac:dyDescent="0.2">
      <c r="Q3046" s="31" t="s">
        <v>2026</v>
      </c>
      <c r="R3046" s="72" t="s">
        <v>59</v>
      </c>
      <c r="S3046" s="75" t="str">
        <f t="shared" si="47"/>
        <v>WV_WIRT</v>
      </c>
    </row>
    <row r="3047" spans="17:19" x14ac:dyDescent="0.2">
      <c r="Q3047" s="30" t="s">
        <v>1532</v>
      </c>
      <c r="R3047" s="71" t="s">
        <v>59</v>
      </c>
      <c r="S3047" s="75" t="str">
        <f t="shared" si="47"/>
        <v>WV_WOOD</v>
      </c>
    </row>
    <row r="3048" spans="17:19" x14ac:dyDescent="0.2">
      <c r="Q3048" s="31" t="s">
        <v>1402</v>
      </c>
      <c r="R3048" s="72" t="s">
        <v>59</v>
      </c>
      <c r="S3048" s="75" t="str">
        <f t="shared" si="47"/>
        <v>WV_WYOMING</v>
      </c>
    </row>
    <row r="3049" spans="17:19" x14ac:dyDescent="0.2">
      <c r="Q3049" s="30" t="s">
        <v>417</v>
      </c>
      <c r="R3049" s="71" t="s">
        <v>58</v>
      </c>
      <c r="S3049" s="75" t="str">
        <f t="shared" si="47"/>
        <v>WI_ADAMS</v>
      </c>
    </row>
    <row r="3050" spans="17:19" x14ac:dyDescent="0.2">
      <c r="Q3050" s="31" t="s">
        <v>1499</v>
      </c>
      <c r="R3050" s="72" t="s">
        <v>58</v>
      </c>
      <c r="S3050" s="75" t="str">
        <f t="shared" si="47"/>
        <v>WI_ASHLAND</v>
      </c>
    </row>
    <row r="3051" spans="17:19" x14ac:dyDescent="0.2">
      <c r="Q3051" s="30" t="s">
        <v>2027</v>
      </c>
      <c r="R3051" s="71" t="s">
        <v>58</v>
      </c>
      <c r="S3051" s="75" t="str">
        <f t="shared" si="47"/>
        <v>WI_BARRON</v>
      </c>
    </row>
    <row r="3052" spans="17:19" x14ac:dyDescent="0.2">
      <c r="Q3052" s="31" t="s">
        <v>2028</v>
      </c>
      <c r="R3052" s="72" t="s">
        <v>58</v>
      </c>
      <c r="S3052" s="75" t="str">
        <f t="shared" si="47"/>
        <v>WI_BAYFIELD</v>
      </c>
    </row>
    <row r="3053" spans="17:19" x14ac:dyDescent="0.2">
      <c r="Q3053" s="30" t="s">
        <v>681</v>
      </c>
      <c r="R3053" s="71" t="s">
        <v>58</v>
      </c>
      <c r="S3053" s="75" t="str">
        <f t="shared" si="47"/>
        <v>WI_BROWN</v>
      </c>
    </row>
    <row r="3054" spans="17:19" x14ac:dyDescent="0.2">
      <c r="Q3054" s="31" t="s">
        <v>1284</v>
      </c>
      <c r="R3054" s="72" t="s">
        <v>58</v>
      </c>
      <c r="S3054" s="75" t="str">
        <f t="shared" si="47"/>
        <v>WI_BUFFALO</v>
      </c>
    </row>
    <row r="3055" spans="17:19" x14ac:dyDescent="0.2">
      <c r="Q3055" s="30" t="s">
        <v>2029</v>
      </c>
      <c r="R3055" s="71" t="s">
        <v>58</v>
      </c>
      <c r="S3055" s="75" t="str">
        <f t="shared" si="47"/>
        <v>WI_BURNETT</v>
      </c>
    </row>
    <row r="3056" spans="17:19" x14ac:dyDescent="0.2">
      <c r="Q3056" s="31" t="s">
        <v>2030</v>
      </c>
      <c r="R3056" s="72" t="s">
        <v>58</v>
      </c>
      <c r="S3056" s="75" t="str">
        <f t="shared" si="47"/>
        <v>WI_CALUMET</v>
      </c>
    </row>
    <row r="3057" spans="17:19" x14ac:dyDescent="0.2">
      <c r="Q3057" s="30" t="s">
        <v>1054</v>
      </c>
      <c r="R3057" s="71" t="s">
        <v>58</v>
      </c>
      <c r="S3057" s="75" t="str">
        <f t="shared" si="47"/>
        <v>WI_CHIPPEWA</v>
      </c>
    </row>
    <row r="3058" spans="17:19" x14ac:dyDescent="0.2">
      <c r="Q3058" s="31" t="s">
        <v>312</v>
      </c>
      <c r="R3058" s="72" t="s">
        <v>58</v>
      </c>
      <c r="S3058" s="75" t="str">
        <f t="shared" si="47"/>
        <v>WI_CLARK</v>
      </c>
    </row>
    <row r="3059" spans="17:19" x14ac:dyDescent="0.2">
      <c r="Q3059" s="30" t="s">
        <v>314</v>
      </c>
      <c r="R3059" s="71" t="s">
        <v>58</v>
      </c>
      <c r="S3059" s="75" t="str">
        <f t="shared" si="47"/>
        <v>WI_COLUMBIA</v>
      </c>
    </row>
    <row r="3060" spans="17:19" x14ac:dyDescent="0.2">
      <c r="Q3060" s="31" t="s">
        <v>317</v>
      </c>
      <c r="R3060" s="72" t="s">
        <v>58</v>
      </c>
      <c r="S3060" s="75" t="str">
        <f t="shared" si="47"/>
        <v>WI_CRAWFORD</v>
      </c>
    </row>
    <row r="3061" spans="17:19" x14ac:dyDescent="0.2">
      <c r="Q3061" s="30" t="s">
        <v>2031</v>
      </c>
      <c r="R3061" s="71" t="s">
        <v>58</v>
      </c>
      <c r="S3061" s="75" t="str">
        <f t="shared" si="47"/>
        <v>WI_DANE</v>
      </c>
    </row>
    <row r="3062" spans="17:19" x14ac:dyDescent="0.2">
      <c r="Q3062" s="31" t="s">
        <v>565</v>
      </c>
      <c r="R3062" s="72" t="s">
        <v>58</v>
      </c>
      <c r="S3062" s="75" t="str">
        <f t="shared" si="47"/>
        <v>WI_DODGE</v>
      </c>
    </row>
    <row r="3063" spans="17:19" x14ac:dyDescent="0.2">
      <c r="Q3063" s="30" t="s">
        <v>2032</v>
      </c>
      <c r="R3063" s="71" t="s">
        <v>58</v>
      </c>
      <c r="S3063" s="75" t="str">
        <f t="shared" si="47"/>
        <v>WI_DOOR</v>
      </c>
    </row>
    <row r="3064" spans="17:19" x14ac:dyDescent="0.2">
      <c r="Q3064" s="31" t="s">
        <v>434</v>
      </c>
      <c r="R3064" s="72" t="s">
        <v>58</v>
      </c>
      <c r="S3064" s="75" t="str">
        <f t="shared" si="47"/>
        <v>WI_DOUGLAS</v>
      </c>
    </row>
    <row r="3065" spans="17:19" x14ac:dyDescent="0.2">
      <c r="Q3065" s="30" t="s">
        <v>1477</v>
      </c>
      <c r="R3065" s="71" t="s">
        <v>58</v>
      </c>
      <c r="S3065" s="75" t="str">
        <f t="shared" si="47"/>
        <v>WI_DUNN</v>
      </c>
    </row>
    <row r="3066" spans="17:19" x14ac:dyDescent="0.2">
      <c r="Q3066" s="31" t="s">
        <v>2033</v>
      </c>
      <c r="R3066" s="72" t="s">
        <v>58</v>
      </c>
      <c r="S3066" s="75" t="str">
        <f t="shared" si="47"/>
        <v>WI_EAU CLAIRE</v>
      </c>
    </row>
    <row r="3067" spans="17:19" x14ac:dyDescent="0.2">
      <c r="Q3067" s="30" t="s">
        <v>1640</v>
      </c>
      <c r="R3067" s="71" t="s">
        <v>58</v>
      </c>
      <c r="S3067" s="75" t="str">
        <f t="shared" si="47"/>
        <v>WI_FLORENCE</v>
      </c>
    </row>
    <row r="3068" spans="17:19" x14ac:dyDescent="0.2">
      <c r="Q3068" s="31" t="s">
        <v>2034</v>
      </c>
      <c r="R3068" s="72" t="s">
        <v>58</v>
      </c>
      <c r="S3068" s="75" t="str">
        <f t="shared" si="47"/>
        <v>WI_FOND DU LAC</v>
      </c>
    </row>
    <row r="3069" spans="17:19" x14ac:dyDescent="0.2">
      <c r="Q3069" s="30" t="s">
        <v>1605</v>
      </c>
      <c r="R3069" s="71" t="s">
        <v>58</v>
      </c>
      <c r="S3069" s="75" t="str">
        <f t="shared" si="47"/>
        <v>WI_FOREST</v>
      </c>
    </row>
    <row r="3070" spans="17:19" x14ac:dyDescent="0.2">
      <c r="Q3070" s="31" t="s">
        <v>325</v>
      </c>
      <c r="R3070" s="72" t="s">
        <v>58</v>
      </c>
      <c r="S3070" s="75" t="str">
        <f t="shared" si="47"/>
        <v>WI_GRANT</v>
      </c>
    </row>
    <row r="3071" spans="17:19" x14ac:dyDescent="0.2">
      <c r="Q3071" s="30" t="s">
        <v>909</v>
      </c>
      <c r="R3071" s="71" t="s">
        <v>58</v>
      </c>
      <c r="S3071" s="75" t="str">
        <f t="shared" si="47"/>
        <v>WI_GREEN</v>
      </c>
    </row>
    <row r="3072" spans="17:19" x14ac:dyDescent="0.2">
      <c r="Q3072" s="31" t="s">
        <v>2035</v>
      </c>
      <c r="R3072" s="72" t="s">
        <v>58</v>
      </c>
      <c r="S3072" s="75" t="str">
        <f t="shared" si="47"/>
        <v>WI_GREEN LAKE</v>
      </c>
    </row>
    <row r="3073" spans="17:19" x14ac:dyDescent="0.2">
      <c r="Q3073" s="30" t="s">
        <v>792</v>
      </c>
      <c r="R3073" s="71" t="s">
        <v>58</v>
      </c>
      <c r="S3073" s="75" t="str">
        <f t="shared" si="47"/>
        <v>WI_IOWA</v>
      </c>
    </row>
    <row r="3074" spans="17:19" x14ac:dyDescent="0.2">
      <c r="Q3074" s="31" t="s">
        <v>1068</v>
      </c>
      <c r="R3074" s="72" t="s">
        <v>58</v>
      </c>
      <c r="S3074" s="75" t="str">
        <f t="shared" si="47"/>
        <v>WI_IRON</v>
      </c>
    </row>
    <row r="3075" spans="17:19" x14ac:dyDescent="0.2">
      <c r="Q3075" s="30" t="s">
        <v>232</v>
      </c>
      <c r="R3075" s="71" t="s">
        <v>58</v>
      </c>
      <c r="S3075" s="75" t="str">
        <f t="shared" si="47"/>
        <v>WI_JACKSON</v>
      </c>
    </row>
    <row r="3076" spans="17:19" x14ac:dyDescent="0.2">
      <c r="Q3076" s="31" t="s">
        <v>233</v>
      </c>
      <c r="R3076" s="72" t="s">
        <v>58</v>
      </c>
      <c r="S3076" s="75" t="str">
        <f t="shared" ref="S3076:S3139" si="48">UPPER(CONCATENATE(TRIM(R3076),"_",TRIM(Q3076)))</f>
        <v>WI_JEFFERSON</v>
      </c>
    </row>
    <row r="3077" spans="17:19" x14ac:dyDescent="0.2">
      <c r="Q3077" s="30" t="s">
        <v>2036</v>
      </c>
      <c r="R3077" s="71" t="s">
        <v>58</v>
      </c>
      <c r="S3077" s="75" t="str">
        <f t="shared" si="48"/>
        <v>WI_JUNEAU</v>
      </c>
    </row>
    <row r="3078" spans="17:19" x14ac:dyDescent="0.2">
      <c r="Q3078" s="31" t="s">
        <v>2037</v>
      </c>
      <c r="R3078" s="72" t="s">
        <v>58</v>
      </c>
      <c r="S3078" s="75" t="str">
        <f t="shared" si="48"/>
        <v>WI_KENOSHA</v>
      </c>
    </row>
    <row r="3079" spans="17:19" x14ac:dyDescent="0.2">
      <c r="Q3079" s="30" t="s">
        <v>2038</v>
      </c>
      <c r="R3079" s="71" t="s">
        <v>58</v>
      </c>
      <c r="S3079" s="75" t="str">
        <f t="shared" si="48"/>
        <v>WI_KEWAUNEE</v>
      </c>
    </row>
    <row r="3080" spans="17:19" x14ac:dyDescent="0.2">
      <c r="Q3080" s="31" t="s">
        <v>2039</v>
      </c>
      <c r="R3080" s="72" t="s">
        <v>58</v>
      </c>
      <c r="S3080" s="75" t="str">
        <f t="shared" si="48"/>
        <v>WI_LA CROSSE</v>
      </c>
    </row>
    <row r="3081" spans="17:19" x14ac:dyDescent="0.2">
      <c r="Q3081" s="30" t="s">
        <v>332</v>
      </c>
      <c r="R3081" s="71" t="s">
        <v>58</v>
      </c>
      <c r="S3081" s="75" t="str">
        <f t="shared" si="48"/>
        <v>WI_LAFAYETTE</v>
      </c>
    </row>
    <row r="3082" spans="17:19" x14ac:dyDescent="0.2">
      <c r="Q3082" s="31" t="s">
        <v>2040</v>
      </c>
      <c r="R3082" s="72" t="s">
        <v>58</v>
      </c>
      <c r="S3082" s="75" t="str">
        <f t="shared" si="48"/>
        <v>WI_LANGLADE</v>
      </c>
    </row>
    <row r="3083" spans="17:19" x14ac:dyDescent="0.2">
      <c r="Q3083" s="30" t="s">
        <v>333</v>
      </c>
      <c r="R3083" s="71" t="s">
        <v>58</v>
      </c>
      <c r="S3083" s="75" t="str">
        <f t="shared" si="48"/>
        <v>WI_LINCOLN</v>
      </c>
    </row>
    <row r="3084" spans="17:19" x14ac:dyDescent="0.2">
      <c r="Q3084" s="31" t="s">
        <v>2041</v>
      </c>
      <c r="R3084" s="72" t="s">
        <v>58</v>
      </c>
      <c r="S3084" s="75" t="str">
        <f t="shared" si="48"/>
        <v>WI_MANITOWOC</v>
      </c>
    </row>
    <row r="3085" spans="17:19" x14ac:dyDescent="0.2">
      <c r="Q3085" s="30" t="s">
        <v>2042</v>
      </c>
      <c r="R3085" s="71" t="s">
        <v>58</v>
      </c>
      <c r="S3085" s="75" t="str">
        <f t="shared" si="48"/>
        <v>WI_MARATHON</v>
      </c>
    </row>
    <row r="3086" spans="17:19" x14ac:dyDescent="0.2">
      <c r="Q3086" s="31" t="s">
        <v>2043</v>
      </c>
      <c r="R3086" s="72" t="s">
        <v>58</v>
      </c>
      <c r="S3086" s="75" t="str">
        <f t="shared" si="48"/>
        <v>WI_MARINETTE</v>
      </c>
    </row>
    <row r="3087" spans="17:19" x14ac:dyDescent="0.2">
      <c r="Q3087" s="30" t="s">
        <v>1080</v>
      </c>
      <c r="R3087" s="71" t="s">
        <v>58</v>
      </c>
      <c r="S3087" s="75" t="str">
        <f t="shared" si="48"/>
        <v>WI_MARQUETTE</v>
      </c>
    </row>
    <row r="3088" spans="17:19" x14ac:dyDescent="0.2">
      <c r="Q3088" s="31" t="s">
        <v>1082</v>
      </c>
      <c r="R3088" s="72" t="s">
        <v>58</v>
      </c>
      <c r="S3088" s="75" t="str">
        <f t="shared" si="48"/>
        <v>WI_MENOMINEE</v>
      </c>
    </row>
    <row r="3089" spans="17:19" x14ac:dyDescent="0.2">
      <c r="Q3089" s="30" t="s">
        <v>2044</v>
      </c>
      <c r="R3089" s="71" t="s">
        <v>58</v>
      </c>
      <c r="S3089" s="75" t="str">
        <f t="shared" si="48"/>
        <v>WI_MILWAUKEE</v>
      </c>
    </row>
    <row r="3090" spans="17:19" x14ac:dyDescent="0.2">
      <c r="Q3090" s="31" t="s">
        <v>246</v>
      </c>
      <c r="R3090" s="72" t="s">
        <v>58</v>
      </c>
      <c r="S3090" s="75" t="str">
        <f t="shared" si="48"/>
        <v>WI_MONROE</v>
      </c>
    </row>
    <row r="3091" spans="17:19" x14ac:dyDescent="0.2">
      <c r="Q3091" s="30" t="s">
        <v>2045</v>
      </c>
      <c r="R3091" s="71" t="s">
        <v>58</v>
      </c>
      <c r="S3091" s="75" t="str">
        <f t="shared" si="48"/>
        <v>WI_OCONTO</v>
      </c>
    </row>
    <row r="3092" spans="17:19" x14ac:dyDescent="0.2">
      <c r="Q3092" s="31" t="s">
        <v>671</v>
      </c>
      <c r="R3092" s="72" t="s">
        <v>58</v>
      </c>
      <c r="S3092" s="75" t="str">
        <f t="shared" si="48"/>
        <v>WI_ONEIDA</v>
      </c>
    </row>
    <row r="3093" spans="17:19" x14ac:dyDescent="0.2">
      <c r="Q3093" s="30" t="s">
        <v>2046</v>
      </c>
      <c r="R3093" s="71" t="s">
        <v>58</v>
      </c>
      <c r="S3093" s="75" t="str">
        <f t="shared" si="48"/>
        <v>WI_OUTAGAMIE</v>
      </c>
    </row>
    <row r="3094" spans="17:19" x14ac:dyDescent="0.2">
      <c r="Q3094" s="31" t="s">
        <v>2047</v>
      </c>
      <c r="R3094" s="72" t="s">
        <v>58</v>
      </c>
      <c r="S3094" s="75" t="str">
        <f t="shared" si="48"/>
        <v>WI_OZAUKEE</v>
      </c>
    </row>
    <row r="3095" spans="17:19" x14ac:dyDescent="0.2">
      <c r="Q3095" s="30" t="s">
        <v>2048</v>
      </c>
      <c r="R3095" s="71" t="s">
        <v>58</v>
      </c>
      <c r="S3095" s="75" t="str">
        <f t="shared" si="48"/>
        <v>WI_PEPIN</v>
      </c>
    </row>
    <row r="3096" spans="17:19" x14ac:dyDescent="0.2">
      <c r="Q3096" s="31" t="s">
        <v>608</v>
      </c>
      <c r="R3096" s="72" t="s">
        <v>58</v>
      </c>
      <c r="S3096" s="75" t="str">
        <f t="shared" si="48"/>
        <v>WI_PIERCE</v>
      </c>
    </row>
    <row r="3097" spans="17:19" x14ac:dyDescent="0.2">
      <c r="Q3097" s="30" t="s">
        <v>344</v>
      </c>
      <c r="R3097" s="71" t="s">
        <v>58</v>
      </c>
      <c r="S3097" s="75" t="str">
        <f t="shared" si="48"/>
        <v>WI_POLK</v>
      </c>
    </row>
    <row r="3098" spans="17:19" x14ac:dyDescent="0.2">
      <c r="Q3098" s="31" t="s">
        <v>1523</v>
      </c>
      <c r="R3098" s="72" t="s">
        <v>58</v>
      </c>
      <c r="S3098" s="75" t="str">
        <f t="shared" si="48"/>
        <v>WI_PORTAGE</v>
      </c>
    </row>
    <row r="3099" spans="17:19" x14ac:dyDescent="0.2">
      <c r="Q3099" s="30" t="s">
        <v>2049</v>
      </c>
      <c r="R3099" s="71" t="s">
        <v>58</v>
      </c>
      <c r="S3099" s="75" t="str">
        <f t="shared" si="48"/>
        <v>WI_PRICE</v>
      </c>
    </row>
    <row r="3100" spans="17:19" x14ac:dyDescent="0.2">
      <c r="Q3100" s="31" t="s">
        <v>2050</v>
      </c>
      <c r="R3100" s="72" t="s">
        <v>58</v>
      </c>
      <c r="S3100" s="75" t="str">
        <f t="shared" si="48"/>
        <v>WI_RACINE</v>
      </c>
    </row>
    <row r="3101" spans="17:19" x14ac:dyDescent="0.2">
      <c r="Q3101" s="30" t="s">
        <v>719</v>
      </c>
      <c r="R3101" s="71" t="s">
        <v>58</v>
      </c>
      <c r="S3101" s="75" t="str">
        <f t="shared" si="48"/>
        <v>WI_RICHLAND</v>
      </c>
    </row>
    <row r="3102" spans="17:19" x14ac:dyDescent="0.2">
      <c r="Q3102" s="31" t="s">
        <v>1149</v>
      </c>
      <c r="R3102" s="72" t="s">
        <v>58</v>
      </c>
      <c r="S3102" s="75" t="str">
        <f t="shared" si="48"/>
        <v>WI_ROCK</v>
      </c>
    </row>
    <row r="3103" spans="17:19" x14ac:dyDescent="0.2">
      <c r="Q3103" s="30" t="s">
        <v>1839</v>
      </c>
      <c r="R3103" s="71" t="s">
        <v>58</v>
      </c>
      <c r="S3103" s="75" t="str">
        <f t="shared" si="48"/>
        <v>WI_RUSK</v>
      </c>
    </row>
    <row r="3104" spans="17:19" x14ac:dyDescent="0.2">
      <c r="Q3104" s="31" t="s">
        <v>2051</v>
      </c>
      <c r="R3104" s="72" t="s">
        <v>58</v>
      </c>
      <c r="S3104" s="75" t="str">
        <f t="shared" si="48"/>
        <v>WI_ST. CROIX</v>
      </c>
    </row>
    <row r="3105" spans="17:19" x14ac:dyDescent="0.2">
      <c r="Q3105" s="30" t="s">
        <v>2052</v>
      </c>
      <c r="R3105" s="71" t="s">
        <v>58</v>
      </c>
      <c r="S3105" s="75" t="str">
        <f t="shared" si="48"/>
        <v>WI_SAUK</v>
      </c>
    </row>
    <row r="3106" spans="17:19" x14ac:dyDescent="0.2">
      <c r="Q3106" s="31" t="s">
        <v>2053</v>
      </c>
      <c r="R3106" s="72" t="s">
        <v>58</v>
      </c>
      <c r="S3106" s="75" t="str">
        <f t="shared" si="48"/>
        <v>WI_SAWYER</v>
      </c>
    </row>
    <row r="3107" spans="17:19" x14ac:dyDescent="0.2">
      <c r="Q3107" s="30" t="s">
        <v>2054</v>
      </c>
      <c r="R3107" s="71" t="s">
        <v>58</v>
      </c>
      <c r="S3107" s="75" t="str">
        <f t="shared" si="48"/>
        <v>WI_SHAWANO</v>
      </c>
    </row>
    <row r="3108" spans="17:19" x14ac:dyDescent="0.2">
      <c r="Q3108" s="31" t="s">
        <v>2055</v>
      </c>
      <c r="R3108" s="72" t="s">
        <v>58</v>
      </c>
      <c r="S3108" s="75" t="str">
        <f t="shared" si="48"/>
        <v>WI_SHEBOYGAN</v>
      </c>
    </row>
    <row r="3109" spans="17:19" x14ac:dyDescent="0.2">
      <c r="Q3109" s="30" t="s">
        <v>529</v>
      </c>
      <c r="R3109" s="71" t="s">
        <v>58</v>
      </c>
      <c r="S3109" s="75" t="str">
        <f t="shared" si="48"/>
        <v>WI_TAYLOR</v>
      </c>
    </row>
    <row r="3110" spans="17:19" x14ac:dyDescent="0.2">
      <c r="Q3110" s="31" t="s">
        <v>2056</v>
      </c>
      <c r="R3110" s="72" t="s">
        <v>58</v>
      </c>
      <c r="S3110" s="75" t="str">
        <f t="shared" si="48"/>
        <v>WI_TREMPEALEAU</v>
      </c>
    </row>
    <row r="3111" spans="17:19" x14ac:dyDescent="0.2">
      <c r="Q3111" s="30" t="s">
        <v>1241</v>
      </c>
      <c r="R3111" s="71" t="s">
        <v>58</v>
      </c>
      <c r="S3111" s="75" t="str">
        <f t="shared" si="48"/>
        <v>WI_VERNON</v>
      </c>
    </row>
    <row r="3112" spans="17:19" x14ac:dyDescent="0.2">
      <c r="Q3112" s="31" t="s">
        <v>2057</v>
      </c>
      <c r="R3112" s="72" t="s">
        <v>58</v>
      </c>
      <c r="S3112" s="75" t="str">
        <f t="shared" si="48"/>
        <v>WI_VILAS</v>
      </c>
    </row>
    <row r="3113" spans="17:19" x14ac:dyDescent="0.2">
      <c r="Q3113" s="30" t="s">
        <v>1688</v>
      </c>
      <c r="R3113" s="71" t="s">
        <v>58</v>
      </c>
      <c r="S3113" s="75" t="str">
        <f t="shared" si="48"/>
        <v>WI_WALWORTH</v>
      </c>
    </row>
    <row r="3114" spans="17:19" x14ac:dyDescent="0.2">
      <c r="Q3114" s="31" t="s">
        <v>2058</v>
      </c>
      <c r="R3114" s="72" t="s">
        <v>58</v>
      </c>
      <c r="S3114" s="75" t="str">
        <f t="shared" si="48"/>
        <v>WI_WASHBURN</v>
      </c>
    </row>
    <row r="3115" spans="17:19" x14ac:dyDescent="0.2">
      <c r="Q3115" s="30" t="s">
        <v>261</v>
      </c>
      <c r="R3115" s="71" t="s">
        <v>58</v>
      </c>
      <c r="S3115" s="75" t="str">
        <f t="shared" si="48"/>
        <v>WI_WASHINGTON</v>
      </c>
    </row>
    <row r="3116" spans="17:19" x14ac:dyDescent="0.2">
      <c r="Q3116" s="31" t="s">
        <v>2059</v>
      </c>
      <c r="R3116" s="72" t="s">
        <v>58</v>
      </c>
      <c r="S3116" s="75" t="str">
        <f t="shared" si="48"/>
        <v>WI_WAUKESHA</v>
      </c>
    </row>
    <row r="3117" spans="17:19" x14ac:dyDescent="0.2">
      <c r="Q3117" s="30" t="s">
        <v>2060</v>
      </c>
      <c r="R3117" s="71" t="s">
        <v>58</v>
      </c>
      <c r="S3117" s="75" t="str">
        <f t="shared" si="48"/>
        <v>WI_WAUPACA</v>
      </c>
    </row>
    <row r="3118" spans="17:19" x14ac:dyDescent="0.2">
      <c r="Q3118" s="31" t="s">
        <v>2061</v>
      </c>
      <c r="R3118" s="72" t="s">
        <v>58</v>
      </c>
      <c r="S3118" s="75" t="str">
        <f t="shared" si="48"/>
        <v>WI_WAUSHARA</v>
      </c>
    </row>
    <row r="3119" spans="17:19" x14ac:dyDescent="0.2">
      <c r="Q3119" s="30" t="s">
        <v>731</v>
      </c>
      <c r="R3119" s="71" t="s">
        <v>58</v>
      </c>
      <c r="S3119" s="75" t="str">
        <f t="shared" si="48"/>
        <v>WI_WINNEBAGO</v>
      </c>
    </row>
    <row r="3120" spans="17:19" x14ac:dyDescent="0.2">
      <c r="Q3120" s="31" t="s">
        <v>1532</v>
      </c>
      <c r="R3120" s="72" t="s">
        <v>58</v>
      </c>
      <c r="S3120" s="75" t="str">
        <f t="shared" si="48"/>
        <v>WI_WOOD</v>
      </c>
    </row>
    <row r="3121" spans="17:19" x14ac:dyDescent="0.2">
      <c r="Q3121" s="30" t="s">
        <v>1373</v>
      </c>
      <c r="R3121" s="71" t="s">
        <v>57</v>
      </c>
      <c r="S3121" s="75" t="str">
        <f t="shared" si="48"/>
        <v>WY_ALBANY</v>
      </c>
    </row>
    <row r="3122" spans="17:19" x14ac:dyDescent="0.2">
      <c r="Q3122" s="31" t="s">
        <v>1244</v>
      </c>
      <c r="R3122" s="72" t="s">
        <v>57</v>
      </c>
      <c r="S3122" s="75" t="str">
        <f t="shared" si="48"/>
        <v>WY_BIG HORN</v>
      </c>
    </row>
    <row r="3123" spans="17:19" x14ac:dyDescent="0.2">
      <c r="Q3123" s="30" t="s">
        <v>898</v>
      </c>
      <c r="R3123" s="71" t="s">
        <v>57</v>
      </c>
      <c r="S3123" s="75" t="str">
        <f t="shared" si="48"/>
        <v>WY_CAMPBELL</v>
      </c>
    </row>
    <row r="3124" spans="17:19" x14ac:dyDescent="0.2">
      <c r="Q3124" s="31" t="s">
        <v>1246</v>
      </c>
      <c r="R3124" s="72" t="s">
        <v>57</v>
      </c>
      <c r="S3124" s="75" t="str">
        <f t="shared" si="48"/>
        <v>WY_CARBON</v>
      </c>
    </row>
    <row r="3125" spans="17:19" x14ac:dyDescent="0.2">
      <c r="Q3125" s="30" t="s">
        <v>2062</v>
      </c>
      <c r="R3125" s="71" t="s">
        <v>57</v>
      </c>
      <c r="S3125" s="75" t="str">
        <f t="shared" si="48"/>
        <v>WY_CONVERSE</v>
      </c>
    </row>
    <row r="3126" spans="17:19" x14ac:dyDescent="0.2">
      <c r="Q3126" s="31" t="s">
        <v>1578</v>
      </c>
      <c r="R3126" s="72" t="s">
        <v>57</v>
      </c>
      <c r="S3126" s="75" t="str">
        <f t="shared" si="48"/>
        <v>WY_CROOK</v>
      </c>
    </row>
    <row r="3127" spans="17:19" x14ac:dyDescent="0.2">
      <c r="Q3127" s="30" t="s">
        <v>438</v>
      </c>
      <c r="R3127" s="71" t="s">
        <v>57</v>
      </c>
      <c r="S3127" s="75" t="str">
        <f t="shared" si="48"/>
        <v>WY_FREMONT</v>
      </c>
    </row>
    <row r="3128" spans="17:19" x14ac:dyDescent="0.2">
      <c r="Q3128" s="31" t="s">
        <v>2063</v>
      </c>
      <c r="R3128" s="72" t="s">
        <v>57</v>
      </c>
      <c r="S3128" s="75" t="str">
        <f t="shared" si="48"/>
        <v>WY_GOSHEN</v>
      </c>
    </row>
    <row r="3129" spans="17:19" x14ac:dyDescent="0.2">
      <c r="Q3129" s="30" t="s">
        <v>2064</v>
      </c>
      <c r="R3129" s="71" t="s">
        <v>57</v>
      </c>
      <c r="S3129" s="75" t="str">
        <f t="shared" si="48"/>
        <v>WY_HOT SPRINGS</v>
      </c>
    </row>
    <row r="3130" spans="17:19" x14ac:dyDescent="0.2">
      <c r="Q3130" s="31" t="s">
        <v>331</v>
      </c>
      <c r="R3130" s="72" t="s">
        <v>57</v>
      </c>
      <c r="S3130" s="75" t="str">
        <f t="shared" si="48"/>
        <v>WY_JOHNSON</v>
      </c>
    </row>
    <row r="3131" spans="17:19" x14ac:dyDescent="0.2">
      <c r="Q3131" s="30" t="s">
        <v>2065</v>
      </c>
      <c r="R3131" s="71" t="s">
        <v>57</v>
      </c>
      <c r="S3131" s="75" t="str">
        <f t="shared" si="48"/>
        <v>WY_LARAMIE</v>
      </c>
    </row>
    <row r="3132" spans="17:19" x14ac:dyDescent="0.2">
      <c r="Q3132" s="31" t="s">
        <v>333</v>
      </c>
      <c r="R3132" s="72" t="s">
        <v>57</v>
      </c>
      <c r="S3132" s="75" t="str">
        <f t="shared" si="48"/>
        <v>WY_LINCOLN</v>
      </c>
    </row>
    <row r="3133" spans="17:19" x14ac:dyDescent="0.2">
      <c r="Q3133" s="30" t="s">
        <v>2066</v>
      </c>
      <c r="R3133" s="71" t="s">
        <v>57</v>
      </c>
      <c r="S3133" s="75" t="str">
        <f t="shared" si="48"/>
        <v>WY_NATRONA</v>
      </c>
    </row>
    <row r="3134" spans="17:19" x14ac:dyDescent="0.2">
      <c r="Q3134" s="31" t="s">
        <v>2067</v>
      </c>
      <c r="R3134" s="72" t="s">
        <v>57</v>
      </c>
      <c r="S3134" s="75" t="str">
        <f t="shared" si="48"/>
        <v>WY_NIOBRARA</v>
      </c>
    </row>
    <row r="3135" spans="17:19" x14ac:dyDescent="0.2">
      <c r="Q3135" s="30" t="s">
        <v>457</v>
      </c>
      <c r="R3135" s="71" t="s">
        <v>57</v>
      </c>
      <c r="S3135" s="75" t="str">
        <f t="shared" si="48"/>
        <v>WY_PARK</v>
      </c>
    </row>
    <row r="3136" spans="17:19" x14ac:dyDescent="0.2">
      <c r="Q3136" s="31" t="s">
        <v>1229</v>
      </c>
      <c r="R3136" s="72" t="s">
        <v>57</v>
      </c>
      <c r="S3136" s="75" t="str">
        <f t="shared" si="48"/>
        <v>WY_PLATTE</v>
      </c>
    </row>
    <row r="3137" spans="17:19" x14ac:dyDescent="0.2">
      <c r="Q3137" s="30" t="s">
        <v>872</v>
      </c>
      <c r="R3137" s="71" t="s">
        <v>57</v>
      </c>
      <c r="S3137" s="75" t="str">
        <f t="shared" si="48"/>
        <v>WY_SHERIDAN</v>
      </c>
    </row>
    <row r="3138" spans="17:19" x14ac:dyDescent="0.2">
      <c r="Q3138" s="31" t="s">
        <v>2068</v>
      </c>
      <c r="R3138" s="72" t="s">
        <v>57</v>
      </c>
      <c r="S3138" s="75" t="str">
        <f t="shared" si="48"/>
        <v>WY_SUBLETTE</v>
      </c>
    </row>
    <row r="3139" spans="17:19" x14ac:dyDescent="0.2">
      <c r="Q3139" s="30" t="s">
        <v>2069</v>
      </c>
      <c r="R3139" s="71" t="s">
        <v>57</v>
      </c>
      <c r="S3139" s="75" t="str">
        <f t="shared" si="48"/>
        <v>WY_SWEETWATER</v>
      </c>
    </row>
    <row r="3140" spans="17:19" x14ac:dyDescent="0.2">
      <c r="Q3140" s="31" t="s">
        <v>676</v>
      </c>
      <c r="R3140" s="72" t="s">
        <v>57</v>
      </c>
      <c r="S3140" s="75" t="str">
        <f t="shared" ref="S3140:S3203" si="49">UPPER(CONCATENATE(TRIM(R3140),"_",TRIM(Q3140)))</f>
        <v>WY_TETON</v>
      </c>
    </row>
    <row r="3141" spans="17:19" x14ac:dyDescent="0.2">
      <c r="Q3141" s="30" t="s">
        <v>2070</v>
      </c>
      <c r="R3141" s="71" t="s">
        <v>57</v>
      </c>
      <c r="S3141" s="75" t="str">
        <f t="shared" si="49"/>
        <v>WY_UINTA</v>
      </c>
    </row>
    <row r="3142" spans="17:19" x14ac:dyDescent="0.2">
      <c r="Q3142" s="31" t="s">
        <v>2071</v>
      </c>
      <c r="R3142" s="72" t="s">
        <v>57</v>
      </c>
      <c r="S3142" s="75" t="str">
        <f t="shared" si="49"/>
        <v>WY_WASHAKIE</v>
      </c>
    </row>
    <row r="3143" spans="17:19" x14ac:dyDescent="0.2">
      <c r="Q3143" s="30" t="s">
        <v>2072</v>
      </c>
      <c r="R3143" s="71" t="s">
        <v>57</v>
      </c>
      <c r="S3143" s="75" t="str">
        <f t="shared" si="49"/>
        <v>WY_WESTON</v>
      </c>
    </row>
    <row r="3144" spans="17:19" x14ac:dyDescent="0.2">
      <c r="Q3144" s="31" t="s">
        <v>2073</v>
      </c>
      <c r="R3144" s="72" t="s">
        <v>69</v>
      </c>
      <c r="S3144" s="75" t="str">
        <f t="shared" si="49"/>
        <v>PR_ADJUNTAS</v>
      </c>
    </row>
    <row r="3145" spans="17:19" x14ac:dyDescent="0.2">
      <c r="Q3145" s="30" t="s">
        <v>2074</v>
      </c>
      <c r="R3145" s="71" t="s">
        <v>69</v>
      </c>
      <c r="S3145" s="75" t="str">
        <f t="shared" si="49"/>
        <v>PR_AGUADA</v>
      </c>
    </row>
    <row r="3146" spans="17:19" x14ac:dyDescent="0.2">
      <c r="Q3146" s="31" t="s">
        <v>2075</v>
      </c>
      <c r="R3146" s="72" t="s">
        <v>69</v>
      </c>
      <c r="S3146" s="75" t="str">
        <f t="shared" si="49"/>
        <v>PR_AGUADILLA</v>
      </c>
    </row>
    <row r="3147" spans="17:19" x14ac:dyDescent="0.2">
      <c r="Q3147" s="30" t="s">
        <v>2076</v>
      </c>
      <c r="R3147" s="71" t="s">
        <v>69</v>
      </c>
      <c r="S3147" s="75" t="str">
        <f t="shared" si="49"/>
        <v>PR_AGUAS BUENAS</v>
      </c>
    </row>
    <row r="3148" spans="17:19" x14ac:dyDescent="0.2">
      <c r="Q3148" s="31" t="s">
        <v>2077</v>
      </c>
      <c r="R3148" s="72" t="s">
        <v>69</v>
      </c>
      <c r="S3148" s="75" t="str">
        <f t="shared" si="49"/>
        <v>PR_AIBONITO</v>
      </c>
    </row>
    <row r="3149" spans="17:19" x14ac:dyDescent="0.2">
      <c r="Q3149" s="30" t="s">
        <v>2078</v>
      </c>
      <c r="R3149" s="71" t="s">
        <v>69</v>
      </c>
      <c r="S3149" s="75" t="str">
        <f t="shared" si="49"/>
        <v>PR_ANASCO</v>
      </c>
    </row>
    <row r="3150" spans="17:19" x14ac:dyDescent="0.2">
      <c r="Q3150" s="31" t="s">
        <v>2079</v>
      </c>
      <c r="R3150" s="72" t="s">
        <v>69</v>
      </c>
      <c r="S3150" s="75" t="str">
        <f t="shared" si="49"/>
        <v>PR_ARECIBO</v>
      </c>
    </row>
    <row r="3151" spans="17:19" x14ac:dyDescent="0.2">
      <c r="Q3151" s="30" t="s">
        <v>2080</v>
      </c>
      <c r="R3151" s="71" t="s">
        <v>69</v>
      </c>
      <c r="S3151" s="75" t="str">
        <f t="shared" si="49"/>
        <v>PR_ARROYO</v>
      </c>
    </row>
    <row r="3152" spans="17:19" x14ac:dyDescent="0.2">
      <c r="Q3152" s="31" t="s">
        <v>2081</v>
      </c>
      <c r="R3152" s="72" t="s">
        <v>69</v>
      </c>
      <c r="S3152" s="75" t="str">
        <f t="shared" si="49"/>
        <v>PR_BARCELONETA</v>
      </c>
    </row>
    <row r="3153" spans="17:19" x14ac:dyDescent="0.2">
      <c r="Q3153" s="30" t="s">
        <v>2082</v>
      </c>
      <c r="R3153" s="71" t="s">
        <v>69</v>
      </c>
      <c r="S3153" s="75" t="str">
        <f t="shared" si="49"/>
        <v>PR_BARRANQUITAS</v>
      </c>
    </row>
    <row r="3154" spans="17:19" x14ac:dyDescent="0.2">
      <c r="Q3154" s="31" t="s">
        <v>2083</v>
      </c>
      <c r="R3154" s="72" t="s">
        <v>69</v>
      </c>
      <c r="S3154" s="75" t="str">
        <f t="shared" si="49"/>
        <v>PR_BAYAMON</v>
      </c>
    </row>
    <row r="3155" spans="17:19" x14ac:dyDescent="0.2">
      <c r="Q3155" s="30" t="s">
        <v>2084</v>
      </c>
      <c r="R3155" s="71" t="s">
        <v>69</v>
      </c>
      <c r="S3155" s="75" t="str">
        <f t="shared" si="49"/>
        <v>PR_CABO ROJO</v>
      </c>
    </row>
    <row r="3156" spans="17:19" x14ac:dyDescent="0.2">
      <c r="Q3156" s="31" t="s">
        <v>2085</v>
      </c>
      <c r="R3156" s="72" t="s">
        <v>69</v>
      </c>
      <c r="S3156" s="75" t="str">
        <f t="shared" si="49"/>
        <v>PR_CAGUAS</v>
      </c>
    </row>
    <row r="3157" spans="17:19" x14ac:dyDescent="0.2">
      <c r="Q3157" s="30" t="s">
        <v>2086</v>
      </c>
      <c r="R3157" s="71" t="s">
        <v>69</v>
      </c>
      <c r="S3157" s="75" t="str">
        <f t="shared" si="49"/>
        <v>PR_CAMUY</v>
      </c>
    </row>
    <row r="3158" spans="17:19" x14ac:dyDescent="0.2">
      <c r="Q3158" s="31" t="s">
        <v>2087</v>
      </c>
      <c r="R3158" s="72" t="s">
        <v>69</v>
      </c>
      <c r="S3158" s="75" t="str">
        <f t="shared" si="49"/>
        <v>PR_CANOVANAS</v>
      </c>
    </row>
    <row r="3159" spans="17:19" x14ac:dyDescent="0.2">
      <c r="Q3159" s="30" t="s">
        <v>2088</v>
      </c>
      <c r="R3159" s="71" t="s">
        <v>69</v>
      </c>
      <c r="S3159" s="75" t="str">
        <f t="shared" si="49"/>
        <v>PR_CAROLINA</v>
      </c>
    </row>
    <row r="3160" spans="17:19" x14ac:dyDescent="0.2">
      <c r="Q3160" s="31" t="s">
        <v>2089</v>
      </c>
      <c r="R3160" s="72" t="s">
        <v>69</v>
      </c>
      <c r="S3160" s="75" t="str">
        <f t="shared" si="49"/>
        <v>PR_CATANO</v>
      </c>
    </row>
    <row r="3161" spans="17:19" x14ac:dyDescent="0.2">
      <c r="Q3161" s="30" t="s">
        <v>2090</v>
      </c>
      <c r="R3161" s="71" t="s">
        <v>69</v>
      </c>
      <c r="S3161" s="75" t="str">
        <f t="shared" si="49"/>
        <v>PR_CAYEY</v>
      </c>
    </row>
    <row r="3162" spans="17:19" x14ac:dyDescent="0.2">
      <c r="Q3162" s="31" t="s">
        <v>2091</v>
      </c>
      <c r="R3162" s="72" t="s">
        <v>69</v>
      </c>
      <c r="S3162" s="75" t="str">
        <f t="shared" si="49"/>
        <v>PR_CEIBA</v>
      </c>
    </row>
    <row r="3163" spans="17:19" x14ac:dyDescent="0.2">
      <c r="Q3163" s="30" t="s">
        <v>2092</v>
      </c>
      <c r="R3163" s="71" t="s">
        <v>69</v>
      </c>
      <c r="S3163" s="75" t="str">
        <f t="shared" si="49"/>
        <v>PR_CIALES</v>
      </c>
    </row>
    <row r="3164" spans="17:19" x14ac:dyDescent="0.2">
      <c r="Q3164" s="31" t="s">
        <v>2093</v>
      </c>
      <c r="R3164" s="72" t="s">
        <v>69</v>
      </c>
      <c r="S3164" s="75" t="str">
        <f t="shared" si="49"/>
        <v>PR_CIDRA</v>
      </c>
    </row>
    <row r="3165" spans="17:19" x14ac:dyDescent="0.2">
      <c r="Q3165" s="30" t="s">
        <v>2094</v>
      </c>
      <c r="R3165" s="71" t="s">
        <v>69</v>
      </c>
      <c r="S3165" s="75" t="str">
        <f t="shared" si="49"/>
        <v>PR_COAMA</v>
      </c>
    </row>
    <row r="3166" spans="17:19" x14ac:dyDescent="0.2">
      <c r="Q3166" s="31" t="s">
        <v>2095</v>
      </c>
      <c r="R3166" s="72" t="s">
        <v>69</v>
      </c>
      <c r="S3166" s="75" t="str">
        <f t="shared" si="49"/>
        <v>PR_COMERIO</v>
      </c>
    </row>
    <row r="3167" spans="17:19" x14ac:dyDescent="0.2">
      <c r="Q3167" s="30" t="s">
        <v>2096</v>
      </c>
      <c r="R3167" s="71" t="s">
        <v>69</v>
      </c>
      <c r="S3167" s="75" t="str">
        <f t="shared" si="49"/>
        <v>PR_COROZAL</v>
      </c>
    </row>
    <row r="3168" spans="17:19" x14ac:dyDescent="0.2">
      <c r="Q3168" s="31" t="s">
        <v>2097</v>
      </c>
      <c r="R3168" s="72" t="s">
        <v>69</v>
      </c>
      <c r="S3168" s="75" t="str">
        <f t="shared" si="49"/>
        <v>PR_CULEBRA</v>
      </c>
    </row>
    <row r="3169" spans="17:19" x14ac:dyDescent="0.2">
      <c r="Q3169" s="30" t="s">
        <v>2098</v>
      </c>
      <c r="R3169" s="71" t="s">
        <v>69</v>
      </c>
      <c r="S3169" s="75" t="str">
        <f t="shared" si="49"/>
        <v>PR_DORADO</v>
      </c>
    </row>
    <row r="3170" spans="17:19" x14ac:dyDescent="0.2">
      <c r="Q3170" s="31" t="s">
        <v>2099</v>
      </c>
      <c r="R3170" s="72" t="s">
        <v>69</v>
      </c>
      <c r="S3170" s="75" t="str">
        <f t="shared" si="49"/>
        <v>PR_FAJARDO</v>
      </c>
    </row>
    <row r="3171" spans="17:19" x14ac:dyDescent="0.2">
      <c r="Q3171" s="30" t="s">
        <v>2100</v>
      </c>
      <c r="R3171" s="71" t="s">
        <v>69</v>
      </c>
      <c r="S3171" s="75" t="str">
        <f t="shared" si="49"/>
        <v>PR_FLORIDA</v>
      </c>
    </row>
    <row r="3172" spans="17:19" x14ac:dyDescent="0.2">
      <c r="Q3172" s="31" t="s">
        <v>2101</v>
      </c>
      <c r="R3172" s="72" t="s">
        <v>69</v>
      </c>
      <c r="S3172" s="75" t="str">
        <f t="shared" si="49"/>
        <v>PR_GUANICA</v>
      </c>
    </row>
    <row r="3173" spans="17:19" x14ac:dyDescent="0.2">
      <c r="Q3173" s="30" t="s">
        <v>2102</v>
      </c>
      <c r="R3173" s="71" t="s">
        <v>69</v>
      </c>
      <c r="S3173" s="75" t="str">
        <f t="shared" si="49"/>
        <v>PR_GUAYAMA</v>
      </c>
    </row>
    <row r="3174" spans="17:19" x14ac:dyDescent="0.2">
      <c r="Q3174" s="31" t="s">
        <v>2103</v>
      </c>
      <c r="R3174" s="72" t="s">
        <v>69</v>
      </c>
      <c r="S3174" s="75" t="str">
        <f t="shared" si="49"/>
        <v>PR_GUAYANILLA</v>
      </c>
    </row>
    <row r="3175" spans="17:19" x14ac:dyDescent="0.2">
      <c r="Q3175" s="30" t="s">
        <v>2104</v>
      </c>
      <c r="R3175" s="71" t="s">
        <v>69</v>
      </c>
      <c r="S3175" s="75" t="str">
        <f t="shared" si="49"/>
        <v>PR_GUAYNABO</v>
      </c>
    </row>
    <row r="3176" spans="17:19" x14ac:dyDescent="0.2">
      <c r="Q3176" s="31" t="s">
        <v>2105</v>
      </c>
      <c r="R3176" s="72" t="s">
        <v>69</v>
      </c>
      <c r="S3176" s="75" t="str">
        <f t="shared" si="49"/>
        <v>PR_GURABO</v>
      </c>
    </row>
    <row r="3177" spans="17:19" x14ac:dyDescent="0.2">
      <c r="Q3177" s="30" t="s">
        <v>2106</v>
      </c>
      <c r="R3177" s="71" t="s">
        <v>69</v>
      </c>
      <c r="S3177" s="75" t="str">
        <f t="shared" si="49"/>
        <v>PR_HATILLO</v>
      </c>
    </row>
    <row r="3178" spans="17:19" x14ac:dyDescent="0.2">
      <c r="Q3178" s="31" t="s">
        <v>2107</v>
      </c>
      <c r="R3178" s="72" t="s">
        <v>69</v>
      </c>
      <c r="S3178" s="75" t="str">
        <f t="shared" si="49"/>
        <v>PR_HORMIGUEROS</v>
      </c>
    </row>
    <row r="3179" spans="17:19" x14ac:dyDescent="0.2">
      <c r="Q3179" s="30" t="s">
        <v>2108</v>
      </c>
      <c r="R3179" s="71" t="s">
        <v>69</v>
      </c>
      <c r="S3179" s="75" t="str">
        <f t="shared" si="49"/>
        <v>PR_HUMACAO</v>
      </c>
    </row>
    <row r="3180" spans="17:19" x14ac:dyDescent="0.2">
      <c r="Q3180" s="31" t="s">
        <v>2109</v>
      </c>
      <c r="R3180" s="72" t="s">
        <v>69</v>
      </c>
      <c r="S3180" s="75" t="str">
        <f t="shared" si="49"/>
        <v>PR_ISABELA</v>
      </c>
    </row>
    <row r="3181" spans="17:19" x14ac:dyDescent="0.2">
      <c r="Q3181" s="30" t="s">
        <v>2110</v>
      </c>
      <c r="R3181" s="71" t="s">
        <v>69</v>
      </c>
      <c r="S3181" s="75" t="str">
        <f t="shared" si="49"/>
        <v>PR_JAYUYA</v>
      </c>
    </row>
    <row r="3182" spans="17:19" x14ac:dyDescent="0.2">
      <c r="Q3182" s="31" t="s">
        <v>2111</v>
      </c>
      <c r="R3182" s="72" t="s">
        <v>69</v>
      </c>
      <c r="S3182" s="75" t="str">
        <f t="shared" si="49"/>
        <v>PR_JUANA DIAZ</v>
      </c>
    </row>
    <row r="3183" spans="17:19" x14ac:dyDescent="0.2">
      <c r="Q3183" s="30" t="s">
        <v>2112</v>
      </c>
      <c r="R3183" s="71" t="s">
        <v>69</v>
      </c>
      <c r="S3183" s="75" t="str">
        <f t="shared" si="49"/>
        <v>PR_JUNCOS</v>
      </c>
    </row>
    <row r="3184" spans="17:19" x14ac:dyDescent="0.2">
      <c r="Q3184" s="31" t="s">
        <v>2113</v>
      </c>
      <c r="R3184" s="72" t="s">
        <v>69</v>
      </c>
      <c r="S3184" s="75" t="str">
        <f t="shared" si="49"/>
        <v>PR_LAJAS</v>
      </c>
    </row>
    <row r="3185" spans="17:19" x14ac:dyDescent="0.2">
      <c r="Q3185" s="30" t="s">
        <v>2114</v>
      </c>
      <c r="R3185" s="71" t="s">
        <v>69</v>
      </c>
      <c r="S3185" s="75" t="str">
        <f t="shared" si="49"/>
        <v>PR_LARES</v>
      </c>
    </row>
    <row r="3186" spans="17:19" x14ac:dyDescent="0.2">
      <c r="Q3186" s="31" t="s">
        <v>2115</v>
      </c>
      <c r="R3186" s="72" t="s">
        <v>69</v>
      </c>
      <c r="S3186" s="75" t="str">
        <f t="shared" si="49"/>
        <v>PR_LAS MARIAS</v>
      </c>
    </row>
    <row r="3187" spans="17:19" x14ac:dyDescent="0.2">
      <c r="Q3187" s="30" t="s">
        <v>2116</v>
      </c>
      <c r="R3187" s="71" t="s">
        <v>69</v>
      </c>
      <c r="S3187" s="75" t="str">
        <f t="shared" si="49"/>
        <v>PR_LAS PIEDRAS</v>
      </c>
    </row>
    <row r="3188" spans="17:19" x14ac:dyDescent="0.2">
      <c r="Q3188" s="31" t="s">
        <v>2117</v>
      </c>
      <c r="R3188" s="72" t="s">
        <v>69</v>
      </c>
      <c r="S3188" s="75" t="str">
        <f t="shared" si="49"/>
        <v>PR_LOIZA</v>
      </c>
    </row>
    <row r="3189" spans="17:19" x14ac:dyDescent="0.2">
      <c r="Q3189" s="30" t="s">
        <v>2118</v>
      </c>
      <c r="R3189" s="71" t="s">
        <v>69</v>
      </c>
      <c r="S3189" s="75" t="str">
        <f t="shared" si="49"/>
        <v>PR_LUQUILLO</v>
      </c>
    </row>
    <row r="3190" spans="17:19" x14ac:dyDescent="0.2">
      <c r="Q3190" s="31" t="s">
        <v>2119</v>
      </c>
      <c r="R3190" s="72" t="s">
        <v>69</v>
      </c>
      <c r="S3190" s="75" t="str">
        <f t="shared" si="49"/>
        <v>PR_MANATI</v>
      </c>
    </row>
    <row r="3191" spans="17:19" x14ac:dyDescent="0.2">
      <c r="Q3191" s="30" t="s">
        <v>2120</v>
      </c>
      <c r="R3191" s="71" t="s">
        <v>69</v>
      </c>
      <c r="S3191" s="75" t="str">
        <f t="shared" si="49"/>
        <v>PR_MARICAO</v>
      </c>
    </row>
    <row r="3192" spans="17:19" x14ac:dyDescent="0.2">
      <c r="Q3192" s="31" t="s">
        <v>2121</v>
      </c>
      <c r="R3192" s="72" t="s">
        <v>69</v>
      </c>
      <c r="S3192" s="75" t="str">
        <f t="shared" si="49"/>
        <v>PR_MAUNABO</v>
      </c>
    </row>
    <row r="3193" spans="17:19" x14ac:dyDescent="0.2">
      <c r="Q3193" s="30" t="s">
        <v>2122</v>
      </c>
      <c r="R3193" s="71" t="s">
        <v>69</v>
      </c>
      <c r="S3193" s="75" t="str">
        <f t="shared" si="49"/>
        <v>PR_MAYAGUEZ</v>
      </c>
    </row>
    <row r="3194" spans="17:19" x14ac:dyDescent="0.2">
      <c r="Q3194" s="31" t="s">
        <v>2123</v>
      </c>
      <c r="R3194" s="72" t="s">
        <v>69</v>
      </c>
      <c r="S3194" s="75" t="str">
        <f t="shared" si="49"/>
        <v>PR_MOCA</v>
      </c>
    </row>
    <row r="3195" spans="17:19" x14ac:dyDescent="0.2">
      <c r="Q3195" s="30" t="s">
        <v>2124</v>
      </c>
      <c r="R3195" s="71" t="s">
        <v>69</v>
      </c>
      <c r="S3195" s="75" t="str">
        <f t="shared" si="49"/>
        <v>PR_MOROVIS</v>
      </c>
    </row>
    <row r="3196" spans="17:19" x14ac:dyDescent="0.2">
      <c r="Q3196" s="31" t="s">
        <v>2125</v>
      </c>
      <c r="R3196" s="72" t="s">
        <v>69</v>
      </c>
      <c r="S3196" s="75" t="str">
        <f t="shared" si="49"/>
        <v>PR_NAGUABO</v>
      </c>
    </row>
    <row r="3197" spans="17:19" x14ac:dyDescent="0.2">
      <c r="Q3197" s="30" t="s">
        <v>2126</v>
      </c>
      <c r="R3197" s="71" t="s">
        <v>69</v>
      </c>
      <c r="S3197" s="75" t="str">
        <f t="shared" si="49"/>
        <v>PR_NARANJITO</v>
      </c>
    </row>
    <row r="3198" spans="17:19" x14ac:dyDescent="0.2">
      <c r="Q3198" s="31" t="s">
        <v>2127</v>
      </c>
      <c r="R3198" s="72" t="s">
        <v>69</v>
      </c>
      <c r="S3198" s="75" t="str">
        <f t="shared" si="49"/>
        <v>PR_OROCOVIS</v>
      </c>
    </row>
    <row r="3199" spans="17:19" x14ac:dyDescent="0.2">
      <c r="Q3199" s="30" t="s">
        <v>2128</v>
      </c>
      <c r="R3199" s="71" t="s">
        <v>69</v>
      </c>
      <c r="S3199" s="75" t="str">
        <f t="shared" si="49"/>
        <v>PR_PATILLAS</v>
      </c>
    </row>
    <row r="3200" spans="17:19" x14ac:dyDescent="0.2">
      <c r="Q3200" s="31" t="s">
        <v>2129</v>
      </c>
      <c r="R3200" s="72" t="s">
        <v>69</v>
      </c>
      <c r="S3200" s="75" t="str">
        <f t="shared" si="49"/>
        <v>PR_PENUELAS</v>
      </c>
    </row>
    <row r="3201" spans="17:19" x14ac:dyDescent="0.2">
      <c r="Q3201" s="30" t="s">
        <v>2130</v>
      </c>
      <c r="R3201" s="71" t="s">
        <v>69</v>
      </c>
      <c r="S3201" s="75" t="str">
        <f t="shared" si="49"/>
        <v>PR_PONCE</v>
      </c>
    </row>
    <row r="3202" spans="17:19" x14ac:dyDescent="0.2">
      <c r="Q3202" s="31" t="s">
        <v>2131</v>
      </c>
      <c r="R3202" s="72" t="s">
        <v>69</v>
      </c>
      <c r="S3202" s="75" t="str">
        <f t="shared" si="49"/>
        <v>PR_QUEBRADILLAS</v>
      </c>
    </row>
    <row r="3203" spans="17:19" x14ac:dyDescent="0.2">
      <c r="Q3203" s="30" t="s">
        <v>2132</v>
      </c>
      <c r="R3203" s="71" t="s">
        <v>69</v>
      </c>
      <c r="S3203" s="75" t="str">
        <f t="shared" si="49"/>
        <v>PR_RINCON</v>
      </c>
    </row>
    <row r="3204" spans="17:19" x14ac:dyDescent="0.2">
      <c r="Q3204" s="31" t="s">
        <v>462</v>
      </c>
      <c r="R3204" s="72" t="s">
        <v>69</v>
      </c>
      <c r="S3204" s="75" t="str">
        <f t="shared" ref="S3204:S3224" si="50">UPPER(CONCATENATE(TRIM(R3204),"_",TRIM(Q3204)))</f>
        <v>PR_RIO GRANDE</v>
      </c>
    </row>
    <row r="3205" spans="17:19" x14ac:dyDescent="0.2">
      <c r="Q3205" s="30" t="s">
        <v>2133</v>
      </c>
      <c r="R3205" s="71" t="s">
        <v>69</v>
      </c>
      <c r="S3205" s="75" t="str">
        <f t="shared" si="50"/>
        <v>PR_SABANA GRANDE</v>
      </c>
    </row>
    <row r="3206" spans="17:19" x14ac:dyDescent="0.2">
      <c r="Q3206" s="31" t="s">
        <v>2134</v>
      </c>
      <c r="R3206" s="72" t="s">
        <v>69</v>
      </c>
      <c r="S3206" s="75" t="str">
        <f t="shared" si="50"/>
        <v>PR_SALINAS</v>
      </c>
    </row>
    <row r="3207" spans="17:19" x14ac:dyDescent="0.2">
      <c r="Q3207" s="30" t="s">
        <v>2135</v>
      </c>
      <c r="R3207" s="71" t="s">
        <v>69</v>
      </c>
      <c r="S3207" s="75" t="str">
        <f t="shared" si="50"/>
        <v>PR_SAN GERMAN</v>
      </c>
    </row>
    <row r="3208" spans="17:19" x14ac:dyDescent="0.2">
      <c r="Q3208" s="31" t="s">
        <v>465</v>
      </c>
      <c r="R3208" s="72" t="s">
        <v>69</v>
      </c>
      <c r="S3208" s="75" t="str">
        <f t="shared" si="50"/>
        <v>PR_SAN JUAN</v>
      </c>
    </row>
    <row r="3209" spans="17:19" x14ac:dyDescent="0.2">
      <c r="Q3209" s="30" t="s">
        <v>2136</v>
      </c>
      <c r="R3209" s="71" t="s">
        <v>69</v>
      </c>
      <c r="S3209" s="75" t="str">
        <f t="shared" si="50"/>
        <v>PR_SAN LORENZO</v>
      </c>
    </row>
    <row r="3210" spans="17:19" x14ac:dyDescent="0.2">
      <c r="Q3210" s="31" t="s">
        <v>2137</v>
      </c>
      <c r="R3210" s="72" t="s">
        <v>69</v>
      </c>
      <c r="S3210" s="75" t="str">
        <f t="shared" si="50"/>
        <v>PR_SAN SEBASTIAN</v>
      </c>
    </row>
    <row r="3211" spans="17:19" x14ac:dyDescent="0.2">
      <c r="Q3211" s="30" t="s">
        <v>2138</v>
      </c>
      <c r="R3211" s="71" t="s">
        <v>69</v>
      </c>
      <c r="S3211" s="75" t="str">
        <f t="shared" si="50"/>
        <v>PR_SANTA ISABEL</v>
      </c>
    </row>
    <row r="3212" spans="17:19" x14ac:dyDescent="0.2">
      <c r="Q3212" s="31" t="s">
        <v>2139</v>
      </c>
      <c r="R3212" s="72" t="s">
        <v>69</v>
      </c>
      <c r="S3212" s="75" t="str">
        <f t="shared" si="50"/>
        <v>PR_TOA ALTA</v>
      </c>
    </row>
    <row r="3213" spans="17:19" x14ac:dyDescent="0.2">
      <c r="Q3213" s="30" t="s">
        <v>2140</v>
      </c>
      <c r="R3213" s="71" t="s">
        <v>69</v>
      </c>
      <c r="S3213" s="75" t="str">
        <f t="shared" si="50"/>
        <v>PR_TOA BAJA</v>
      </c>
    </row>
    <row r="3214" spans="17:19" x14ac:dyDescent="0.2">
      <c r="Q3214" s="31" t="s">
        <v>2141</v>
      </c>
      <c r="R3214" s="72" t="s">
        <v>69</v>
      </c>
      <c r="S3214" s="75" t="str">
        <f t="shared" si="50"/>
        <v>PR_TRUJILLO ALTO</v>
      </c>
    </row>
    <row r="3215" spans="17:19" x14ac:dyDescent="0.2">
      <c r="Q3215" s="30" t="s">
        <v>2142</v>
      </c>
      <c r="R3215" s="71" t="s">
        <v>69</v>
      </c>
      <c r="S3215" s="75" t="str">
        <f t="shared" si="50"/>
        <v>PR_UTUADO</v>
      </c>
    </row>
    <row r="3216" spans="17:19" x14ac:dyDescent="0.2">
      <c r="Q3216" s="31" t="s">
        <v>2143</v>
      </c>
      <c r="R3216" s="72" t="s">
        <v>69</v>
      </c>
      <c r="S3216" s="75" t="str">
        <f t="shared" si="50"/>
        <v>PR_VEGA ALTA</v>
      </c>
    </row>
    <row r="3217" spans="17:19" x14ac:dyDescent="0.2">
      <c r="Q3217" s="30" t="s">
        <v>2144</v>
      </c>
      <c r="R3217" s="71" t="s">
        <v>69</v>
      </c>
      <c r="S3217" s="75" t="str">
        <f t="shared" si="50"/>
        <v>PR_VEGA BAJA</v>
      </c>
    </row>
    <row r="3218" spans="17:19" x14ac:dyDescent="0.2">
      <c r="Q3218" s="31" t="s">
        <v>2145</v>
      </c>
      <c r="R3218" s="72" t="s">
        <v>69</v>
      </c>
      <c r="S3218" s="75" t="str">
        <f t="shared" si="50"/>
        <v>PR_VIEQUES</v>
      </c>
    </row>
    <row r="3219" spans="17:19" x14ac:dyDescent="0.2">
      <c r="Q3219" s="30" t="s">
        <v>2146</v>
      </c>
      <c r="R3219" s="71" t="s">
        <v>69</v>
      </c>
      <c r="S3219" s="75" t="str">
        <f t="shared" si="50"/>
        <v>PR_VILLALBA</v>
      </c>
    </row>
    <row r="3220" spans="17:19" x14ac:dyDescent="0.2">
      <c r="Q3220" s="31" t="s">
        <v>2147</v>
      </c>
      <c r="R3220" s="72" t="s">
        <v>69</v>
      </c>
      <c r="S3220" s="75" t="str">
        <f t="shared" si="50"/>
        <v>PR_YABUCOA</v>
      </c>
    </row>
    <row r="3221" spans="17:19" x14ac:dyDescent="0.2">
      <c r="Q3221" s="30" t="s">
        <v>2148</v>
      </c>
      <c r="R3221" s="71" t="s">
        <v>69</v>
      </c>
      <c r="S3221" s="75" t="str">
        <f t="shared" si="50"/>
        <v>PR_YAUCO</v>
      </c>
    </row>
    <row r="3222" spans="17:19" x14ac:dyDescent="0.2">
      <c r="Q3222" s="31" t="s">
        <v>2149</v>
      </c>
      <c r="R3222" s="72" t="s">
        <v>143</v>
      </c>
      <c r="S3222" s="75" t="str">
        <f t="shared" si="50"/>
        <v>VI_ST CROIX</v>
      </c>
    </row>
    <row r="3223" spans="17:19" x14ac:dyDescent="0.2">
      <c r="Q3223" s="30" t="s">
        <v>2150</v>
      </c>
      <c r="R3223" s="71" t="s">
        <v>143</v>
      </c>
      <c r="S3223" s="75" t="str">
        <f t="shared" si="50"/>
        <v>VI_ST JOHN</v>
      </c>
    </row>
    <row r="3224" spans="17:19" x14ac:dyDescent="0.2">
      <c r="Q3224" s="73" t="s">
        <v>2151</v>
      </c>
      <c r="R3224" s="74" t="s">
        <v>143</v>
      </c>
      <c r="S3224" s="75" t="str">
        <f t="shared" si="50"/>
        <v>VI_ST THOMAS</v>
      </c>
    </row>
  </sheetData>
  <sheetProtection algorithmName="SHA-512" hashValue="6+RhCCjk03I2XPWOIZEKw5Yz/eoOEuLToc/OJtDCYHjDSvwArlYtaJH4j/fZNFEywjbpPqWLr6b5PD3T/Ss0IA==" saltValue="PbT3wDtTYPvxajPHVhEXrQ==" spinCount="100000" sheet="1" objects="1" scenarios="1"/>
  <sortState xmlns:xlrd2="http://schemas.microsoft.com/office/spreadsheetml/2017/richdata2" ref="AE3:AE139">
    <sortCondition ref="AE3:AE139"/>
  </sortState>
  <pageMargins left="0.7" right="0.7" top="0.75" bottom="0.75" header="0.3" footer="0.3"/>
  <pageSetup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59999389629810485"/>
  </sheetPr>
  <dimension ref="A1:J7"/>
  <sheetViews>
    <sheetView workbookViewId="0">
      <selection activeCell="I2" sqref="I2:L2"/>
    </sheetView>
  </sheetViews>
  <sheetFormatPr defaultRowHeight="15" x14ac:dyDescent="0.25"/>
  <cols>
    <col min="1" max="1" width="45" bestFit="1" customWidth="1"/>
    <col min="3" max="3" width="45" bestFit="1" customWidth="1"/>
    <col min="4" max="4" width="16.7109375" bestFit="1" customWidth="1"/>
    <col min="6" max="6" width="45" bestFit="1" customWidth="1"/>
    <col min="8" max="8" width="45" bestFit="1" customWidth="1"/>
    <col min="10" max="10" width="45" bestFit="1" customWidth="1"/>
  </cols>
  <sheetData>
    <row r="1" spans="1:10" x14ac:dyDescent="0.25">
      <c r="A1" s="3" t="s">
        <v>2787</v>
      </c>
      <c r="C1" s="3" t="s">
        <v>2786</v>
      </c>
      <c r="F1" s="3" t="s">
        <v>2785</v>
      </c>
      <c r="H1" s="3" t="s">
        <v>2784</v>
      </c>
      <c r="J1" s="3" t="s">
        <v>2783</v>
      </c>
    </row>
    <row r="2" spans="1:10" ht="15.75" thickBot="1" x14ac:dyDescent="0.3">
      <c r="A2" s="13" t="s">
        <v>2782</v>
      </c>
      <c r="C2" s="13" t="s">
        <v>2781</v>
      </c>
      <c r="D2" s="13" t="s">
        <v>2780</v>
      </c>
      <c r="F2" s="13" t="s">
        <v>2779</v>
      </c>
      <c r="H2" s="13" t="s">
        <v>2778</v>
      </c>
      <c r="J2" s="13" t="s">
        <v>2777</v>
      </c>
    </row>
    <row r="3" spans="1:10" ht="15.75" thickTop="1" x14ac:dyDescent="0.25">
      <c r="A3" s="175">
        <v>12</v>
      </c>
      <c r="C3" s="175" t="s">
        <v>2776</v>
      </c>
      <c r="D3" s="175">
        <v>52</v>
      </c>
      <c r="F3" s="175" t="s">
        <v>2775</v>
      </c>
      <c r="H3" s="175" t="s">
        <v>2774</v>
      </c>
      <c r="J3" s="175" t="s">
        <v>2773</v>
      </c>
    </row>
    <row r="4" spans="1:10" x14ac:dyDescent="0.25">
      <c r="A4" s="176">
        <v>24</v>
      </c>
      <c r="C4" s="176" t="s">
        <v>2772</v>
      </c>
      <c r="D4" s="176">
        <v>26</v>
      </c>
      <c r="F4" s="176" t="s">
        <v>2771</v>
      </c>
      <c r="H4" s="176" t="s">
        <v>2770</v>
      </c>
      <c r="J4" s="176" t="s">
        <v>2769</v>
      </c>
    </row>
    <row r="5" spans="1:10" x14ac:dyDescent="0.25">
      <c r="A5" s="175">
        <v>26</v>
      </c>
      <c r="C5" s="175" t="s">
        <v>2768</v>
      </c>
      <c r="D5" s="175">
        <v>12</v>
      </c>
      <c r="F5" s="175" t="s">
        <v>2767</v>
      </c>
      <c r="H5" s="175" t="s">
        <v>2766</v>
      </c>
      <c r="J5" s="175" t="s">
        <v>2765</v>
      </c>
    </row>
    <row r="6" spans="1:10" x14ac:dyDescent="0.25">
      <c r="A6" s="176">
        <v>52</v>
      </c>
      <c r="C6" s="176" t="s">
        <v>2764</v>
      </c>
      <c r="D6" s="176">
        <v>24</v>
      </c>
      <c r="F6" s="176" t="s">
        <v>2761</v>
      </c>
      <c r="H6" s="176" t="s">
        <v>2763</v>
      </c>
      <c r="J6" s="176" t="s">
        <v>2762</v>
      </c>
    </row>
    <row r="7" spans="1:10" x14ac:dyDescent="0.25">
      <c r="H7" s="175" t="s">
        <v>2761</v>
      </c>
    </row>
  </sheetData>
  <sheetProtection algorithmName="SHA-512" hashValue="NC1H4DrH+nNa4HDNPc1c/ueOnxVCX2SO4LpUO0fiA7+ERLUUIj1R+vzGzH5c/AmveEHPEz94b8jDmrWM5InbpA==" saltValue="CdpsH62o+Zb5XaUmp/XcLw=="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59999389629810485"/>
  </sheetPr>
  <dimension ref="A1:M48"/>
  <sheetViews>
    <sheetView workbookViewId="0">
      <selection activeCell="I2" sqref="I2:L2"/>
    </sheetView>
  </sheetViews>
  <sheetFormatPr defaultRowHeight="12.75" x14ac:dyDescent="0.2"/>
  <cols>
    <col min="1" max="1" width="23.5703125" style="1" customWidth="1"/>
    <col min="2" max="2" width="30.140625" style="1" bestFit="1" customWidth="1"/>
    <col min="3" max="3" width="15.140625" style="1" customWidth="1"/>
    <col min="4" max="4" width="30.42578125" style="2" bestFit="1" customWidth="1"/>
    <col min="5" max="5" width="3.42578125" style="1" customWidth="1"/>
    <col min="6" max="6" width="19.140625" style="2" customWidth="1"/>
    <col min="7" max="7" width="25.42578125" style="1" bestFit="1" customWidth="1"/>
    <col min="8" max="8" width="25.42578125" style="1" customWidth="1"/>
    <col min="9" max="9" width="18" style="1" customWidth="1"/>
    <col min="10" max="10" width="24.42578125" style="1" bestFit="1" customWidth="1"/>
    <col min="11" max="11" width="9.140625" style="1"/>
    <col min="12" max="12" width="17.140625" style="1" customWidth="1"/>
    <col min="13" max="13" width="59.28515625" style="1" bestFit="1" customWidth="1"/>
    <col min="14" max="16384" width="9.140625" style="1"/>
  </cols>
  <sheetData>
    <row r="1" spans="1:13" x14ac:dyDescent="0.2">
      <c r="A1" s="3" t="s">
        <v>134</v>
      </c>
      <c r="F1" s="5" t="s">
        <v>41</v>
      </c>
      <c r="L1" s="5" t="s">
        <v>2156</v>
      </c>
    </row>
    <row r="2" spans="1:13" x14ac:dyDescent="0.2">
      <c r="A2" s="1" t="s">
        <v>5</v>
      </c>
      <c r="B2" s="1" t="s">
        <v>6</v>
      </c>
      <c r="C2" s="1" t="s">
        <v>7</v>
      </c>
      <c r="D2" s="2" t="s">
        <v>8</v>
      </c>
      <c r="F2" s="5" t="s">
        <v>14</v>
      </c>
      <c r="G2" s="1" t="s">
        <v>21</v>
      </c>
      <c r="H2" s="1" t="s">
        <v>24</v>
      </c>
      <c r="I2" s="1" t="s">
        <v>16</v>
      </c>
      <c r="J2" s="1" t="s">
        <v>23</v>
      </c>
      <c r="L2" s="1" t="s">
        <v>2157</v>
      </c>
      <c r="M2" s="1" t="s">
        <v>2158</v>
      </c>
    </row>
    <row r="3" spans="1:13" x14ac:dyDescent="0.2">
      <c r="A3" s="1" t="s">
        <v>2218</v>
      </c>
      <c r="B3" s="1" t="s">
        <v>2217</v>
      </c>
      <c r="C3" s="1" t="s">
        <v>9</v>
      </c>
      <c r="D3" s="2" t="str">
        <f ca="1">VLOOKUP(DB_TBL_CONFIG_APP[[#This Row],[CONFIG_VAR]],DB_TBL_DATA_FIELDS[[#All],[FIELD_ID]:[FIELD_VALUE_CLEAN]],10,FALSE)</f>
        <v>RES</v>
      </c>
      <c r="F3" s="2">
        <v>-1</v>
      </c>
      <c r="G3" s="1" t="s">
        <v>17</v>
      </c>
      <c r="H3" s="1" t="s">
        <v>28</v>
      </c>
      <c r="I3" s="1" t="s">
        <v>54</v>
      </c>
      <c r="J3" s="1" t="s">
        <v>13</v>
      </c>
      <c r="L3" s="1">
        <v>1</v>
      </c>
      <c r="M3" s="1" t="s">
        <v>2610</v>
      </c>
    </row>
    <row r="4" spans="1:13" x14ac:dyDescent="0.2">
      <c r="A4" s="1" t="s">
        <v>2221</v>
      </c>
      <c r="B4" s="1" t="s">
        <v>2222</v>
      </c>
      <c r="C4" s="1" t="s">
        <v>9</v>
      </c>
      <c r="D4" s="2" t="str">
        <f ca="1">IFERROR(VLOOKUP(D3,DB_TBL_LOOKUP_EFORM_TYPE[],2,FALSE),"")</f>
        <v>New Household Reservation Request</v>
      </c>
      <c r="F4" s="2">
        <v>0</v>
      </c>
      <c r="G4" s="1" t="s">
        <v>18</v>
      </c>
      <c r="H4" s="1" t="s">
        <v>26</v>
      </c>
      <c r="I4" s="1" t="s">
        <v>12</v>
      </c>
      <c r="J4" s="1" t="s">
        <v>13</v>
      </c>
      <c r="L4" s="1">
        <v>2</v>
      </c>
      <c r="M4" s="1" t="s">
        <v>2595</v>
      </c>
    </row>
    <row r="5" spans="1:13" x14ac:dyDescent="0.2">
      <c r="A5" s="1" t="s">
        <v>137</v>
      </c>
      <c r="B5" s="1" t="s">
        <v>138</v>
      </c>
      <c r="C5" s="1" t="s">
        <v>31</v>
      </c>
      <c r="D5" s="231">
        <f>Configuration!V10</f>
        <v>44952</v>
      </c>
      <c r="F5" s="2">
        <v>1</v>
      </c>
      <c r="G5" s="1" t="s">
        <v>19</v>
      </c>
      <c r="H5" s="1" t="s">
        <v>25</v>
      </c>
      <c r="I5" s="1" t="s">
        <v>22</v>
      </c>
      <c r="J5" s="1" t="s">
        <v>13</v>
      </c>
    </row>
    <row r="6" spans="1:13" x14ac:dyDescent="0.2">
      <c r="A6" s="1" t="s">
        <v>2356</v>
      </c>
      <c r="B6" s="1" t="s">
        <v>2357</v>
      </c>
      <c r="C6" s="1" t="s">
        <v>9</v>
      </c>
      <c r="D6" s="122" t="s">
        <v>2956</v>
      </c>
      <c r="F6" s="2">
        <v>2</v>
      </c>
      <c r="G6" s="1" t="s">
        <v>20</v>
      </c>
      <c r="H6" s="1" t="s">
        <v>27</v>
      </c>
      <c r="I6" s="1" t="s">
        <v>11</v>
      </c>
      <c r="J6" s="1" t="s">
        <v>13</v>
      </c>
    </row>
    <row r="7" spans="1:13" x14ac:dyDescent="0.2">
      <c r="A7" s="1" t="s">
        <v>2358</v>
      </c>
      <c r="B7" s="1" t="s">
        <v>2359</v>
      </c>
      <c r="C7" s="1" t="s">
        <v>9</v>
      </c>
      <c r="D7" s="2">
        <f>Configuration!X9</f>
        <v>0</v>
      </c>
    </row>
    <row r="8" spans="1:13" x14ac:dyDescent="0.2">
      <c r="A8" s="1" t="s">
        <v>192</v>
      </c>
      <c r="B8" s="1" t="s">
        <v>2360</v>
      </c>
      <c r="C8" s="1" t="s">
        <v>9</v>
      </c>
      <c r="D8" s="2" t="str">
        <f>CONFIG_EFORM_VERSION_NO_MAJ&amp;"."&amp;CONFIG_EFORM_VERSION_NO_REV</f>
        <v>5.0.0</v>
      </c>
    </row>
    <row r="9" spans="1:13" x14ac:dyDescent="0.2">
      <c r="A9" s="1" t="s">
        <v>2933</v>
      </c>
      <c r="B9" s="1" t="s">
        <v>2934</v>
      </c>
      <c r="C9" s="1" t="s">
        <v>39</v>
      </c>
      <c r="D9" s="2">
        <v>2</v>
      </c>
    </row>
    <row r="10" spans="1:13" x14ac:dyDescent="0.2">
      <c r="A10" s="1" t="s">
        <v>2937</v>
      </c>
      <c r="B10" s="1" t="s">
        <v>2938</v>
      </c>
      <c r="C10" s="1" t="s">
        <v>9</v>
      </c>
      <c r="D10" s="21" t="str">
        <f>Configuration!V11</f>
        <v>AHP/HDP-001</v>
      </c>
    </row>
    <row r="11" spans="1:13" x14ac:dyDescent="0.2">
      <c r="A11" s="1" t="s">
        <v>2873</v>
      </c>
      <c r="B11" s="1" t="s">
        <v>2876</v>
      </c>
      <c r="C11" s="1" t="s">
        <v>39</v>
      </c>
      <c r="D11" s="21">
        <f>Configuration!V25</f>
        <v>45000</v>
      </c>
      <c r="E11" s="229"/>
    </row>
    <row r="12" spans="1:13" x14ac:dyDescent="0.2">
      <c r="A12" s="1" t="s">
        <v>2874</v>
      </c>
      <c r="B12" s="1" t="s">
        <v>2875</v>
      </c>
      <c r="D12" s="21">
        <f>Configuration!V26</f>
        <v>45000</v>
      </c>
    </row>
    <row r="13" spans="1:13" x14ac:dyDescent="0.2">
      <c r="A13" s="1" t="s">
        <v>2848</v>
      </c>
      <c r="B13" s="1" t="s">
        <v>2849</v>
      </c>
      <c r="C13" s="1" t="s">
        <v>9</v>
      </c>
      <c r="D13" s="21" t="str">
        <f>Configuration!V7</f>
        <v>HDP-005</v>
      </c>
    </row>
    <row r="14" spans="1:13" x14ac:dyDescent="0.2">
      <c r="A14" s="1" t="s">
        <v>2243</v>
      </c>
      <c r="B14" s="1" t="s">
        <v>2244</v>
      </c>
      <c r="C14" s="1" t="s">
        <v>9</v>
      </c>
      <c r="D14" s="2" t="str">
        <f>CONCATENATE(CONFIG_DOC_ID,": ",CONFIG_SA_PROGRAM_NAME," ","Request Form")</f>
        <v>HDP-005: Homebuyer Dream Program Request Form</v>
      </c>
      <c r="M14" s="12"/>
    </row>
    <row r="15" spans="1:13" x14ac:dyDescent="0.2">
      <c r="A15" s="1" t="s">
        <v>2223</v>
      </c>
      <c r="B15" s="1" t="s">
        <v>2225</v>
      </c>
      <c r="C15" s="1" t="s">
        <v>9</v>
      </c>
      <c r="D15" s="110" t="s">
        <v>2879</v>
      </c>
    </row>
    <row r="16" spans="1:13" x14ac:dyDescent="0.2">
      <c r="A16" s="1" t="s">
        <v>2224</v>
      </c>
      <c r="B16" s="1" t="s">
        <v>2226</v>
      </c>
      <c r="C16" s="1" t="s">
        <v>9</v>
      </c>
      <c r="D16" s="110" t="s">
        <v>2880</v>
      </c>
    </row>
    <row r="17" spans="1:8" x14ac:dyDescent="0.2">
      <c r="A17" s="1" t="s">
        <v>2227</v>
      </c>
      <c r="B17" s="1" t="s">
        <v>2228</v>
      </c>
      <c r="C17" s="1" t="s">
        <v>9</v>
      </c>
      <c r="D17" s="110" t="s">
        <v>2881</v>
      </c>
    </row>
    <row r="18" spans="1:8" x14ac:dyDescent="0.2">
      <c r="A18" s="1" t="s">
        <v>2846</v>
      </c>
      <c r="B18" s="1" t="s">
        <v>2847</v>
      </c>
      <c r="C18" s="1" t="s">
        <v>9</v>
      </c>
      <c r="D18" s="21" t="str">
        <f>Configuration!V8</f>
        <v>Homebuyer Dream Program</v>
      </c>
    </row>
    <row r="19" spans="1:8" x14ac:dyDescent="0.2">
      <c r="A19" s="1" t="s">
        <v>2235</v>
      </c>
      <c r="B19" s="1" t="s">
        <v>2236</v>
      </c>
      <c r="C19" s="1" t="s">
        <v>9</v>
      </c>
      <c r="D19" s="110" t="str">
        <f>CONCATENATE(CONFIG_SA_PROGRAM_NAME," Request Form")</f>
        <v>Homebuyer Dream Program Request Form</v>
      </c>
    </row>
    <row r="20" spans="1:8" x14ac:dyDescent="0.2">
      <c r="A20" s="1" t="s">
        <v>2229</v>
      </c>
      <c r="B20" s="1" t="s">
        <v>2230</v>
      </c>
      <c r="C20" s="1" t="s">
        <v>9</v>
      </c>
      <c r="D20" s="110" t="s">
        <v>2891</v>
      </c>
    </row>
    <row r="21" spans="1:8" x14ac:dyDescent="0.2">
      <c r="A21" s="1" t="s">
        <v>2231</v>
      </c>
      <c r="B21" s="1" t="s">
        <v>2233</v>
      </c>
      <c r="C21" s="1" t="s">
        <v>9</v>
      </c>
      <c r="D21" s="110" t="s">
        <v>2892</v>
      </c>
    </row>
    <row r="22" spans="1:8" x14ac:dyDescent="0.2">
      <c r="A22" s="1" t="s">
        <v>2232</v>
      </c>
      <c r="B22" s="1" t="s">
        <v>2234</v>
      </c>
      <c r="C22" s="1" t="s">
        <v>9</v>
      </c>
      <c r="D22" s="110" t="s">
        <v>2884</v>
      </c>
    </row>
    <row r="23" spans="1:8" x14ac:dyDescent="0.2">
      <c r="A23" s="1" t="s">
        <v>2237</v>
      </c>
      <c r="B23" s="1" t="s">
        <v>2238</v>
      </c>
      <c r="C23" s="1" t="s">
        <v>39</v>
      </c>
      <c r="D23" s="232">
        <f>Configuration!V17</f>
        <v>9500</v>
      </c>
    </row>
    <row r="24" spans="1:8" x14ac:dyDescent="0.2">
      <c r="A24" s="1" t="s">
        <v>2239</v>
      </c>
      <c r="B24" s="1" t="s">
        <v>2240</v>
      </c>
      <c r="C24" s="1" t="s">
        <v>39</v>
      </c>
      <c r="D24" s="232">
        <f>Configuration!V18</f>
        <v>500</v>
      </c>
      <c r="G24" s="1" t="s">
        <v>2536</v>
      </c>
      <c r="H24" s="1" t="s">
        <v>2537</v>
      </c>
    </row>
    <row r="25" spans="1:8" x14ac:dyDescent="0.2">
      <c r="A25" s="1" t="s">
        <v>2609</v>
      </c>
      <c r="B25" s="1" t="s">
        <v>2614</v>
      </c>
      <c r="C25" s="1" t="s">
        <v>39</v>
      </c>
      <c r="D25" s="234">
        <f>Configuration!V19</f>
        <v>1</v>
      </c>
      <c r="G25" s="1" t="s">
        <v>2538</v>
      </c>
      <c r="H25" s="1" t="s">
        <v>2533</v>
      </c>
    </row>
    <row r="26" spans="1:8" x14ac:dyDescent="0.2">
      <c r="A26" s="247" t="s">
        <v>2365</v>
      </c>
      <c r="B26" s="247" t="s">
        <v>2366</v>
      </c>
      <c r="C26" s="247" t="s">
        <v>9</v>
      </c>
      <c r="D26" s="255" t="str">
        <f>""</f>
        <v/>
      </c>
      <c r="G26" s="1" t="s">
        <v>2538</v>
      </c>
      <c r="H26" s="1" t="s">
        <v>2539</v>
      </c>
    </row>
    <row r="27" spans="1:8" x14ac:dyDescent="0.2">
      <c r="A27" s="1" t="s">
        <v>2367</v>
      </c>
      <c r="B27" s="1" t="s">
        <v>2368</v>
      </c>
      <c r="C27" s="1" t="s">
        <v>9</v>
      </c>
      <c r="D27" s="233" t="str">
        <f>Configuration!V16</f>
        <v>2023 Round</v>
      </c>
    </row>
    <row r="28" spans="1:8" x14ac:dyDescent="0.2">
      <c r="A28" s="1" t="s">
        <v>2857</v>
      </c>
      <c r="B28" s="1" t="s">
        <v>2856</v>
      </c>
      <c r="C28" s="1" t="s">
        <v>39</v>
      </c>
      <c r="D28" s="21">
        <f>Configuration!V20</f>
        <v>1000</v>
      </c>
    </row>
    <row r="29" spans="1:8" x14ac:dyDescent="0.2">
      <c r="A29" s="1" t="s">
        <v>2862</v>
      </c>
      <c r="B29" s="1" t="s">
        <v>2865</v>
      </c>
      <c r="C29" s="1" t="s">
        <v>39</v>
      </c>
      <c r="D29" s="235">
        <f>Configuration!$V$21</f>
        <v>1.1000000000000001</v>
      </c>
    </row>
    <row r="30" spans="1:8" x14ac:dyDescent="0.2">
      <c r="A30" s="1" t="s">
        <v>2863</v>
      </c>
      <c r="B30" s="1" t="s">
        <v>2866</v>
      </c>
      <c r="C30" s="1" t="s">
        <v>39</v>
      </c>
      <c r="D30" s="235">
        <f>Configuration!$V$22</f>
        <v>0.75</v>
      </c>
    </row>
    <row r="31" spans="1:8" x14ac:dyDescent="0.2">
      <c r="A31" s="1" t="s">
        <v>2864</v>
      </c>
      <c r="B31" s="1" t="s">
        <v>2867</v>
      </c>
      <c r="C31" s="1" t="s">
        <v>39</v>
      </c>
      <c r="D31" s="235">
        <f>Configuration!$V$23</f>
        <v>0.75</v>
      </c>
    </row>
    <row r="32" spans="1:8" x14ac:dyDescent="0.2">
      <c r="A32" s="1" t="s">
        <v>2885</v>
      </c>
      <c r="B32" s="1" t="s">
        <v>2886</v>
      </c>
      <c r="C32" s="1" t="s">
        <v>39</v>
      </c>
      <c r="D32" s="235">
        <f>Configuration!V24</f>
        <v>0.45</v>
      </c>
      <c r="G32" s="254"/>
    </row>
    <row r="33" spans="1:4" x14ac:dyDescent="0.2">
      <c r="A33" s="1" t="s">
        <v>2420</v>
      </c>
      <c r="B33" s="1" t="s">
        <v>2421</v>
      </c>
      <c r="C33" s="1" t="s">
        <v>39</v>
      </c>
      <c r="D33" s="122" t="s">
        <v>2422</v>
      </c>
    </row>
    <row r="34" spans="1:4" x14ac:dyDescent="0.2">
      <c r="A34" s="1" t="s">
        <v>2530</v>
      </c>
      <c r="B34" s="1" t="s">
        <v>2532</v>
      </c>
      <c r="C34" s="1" t="s">
        <v>9</v>
      </c>
      <c r="D34" s="122" t="s">
        <v>2533</v>
      </c>
    </row>
    <row r="35" spans="1:4" x14ac:dyDescent="0.2">
      <c r="A35" s="1" t="s">
        <v>2531</v>
      </c>
      <c r="B35" s="1" t="s">
        <v>2534</v>
      </c>
      <c r="C35" s="1" t="s">
        <v>9</v>
      </c>
      <c r="D35" s="122" t="s">
        <v>2535</v>
      </c>
    </row>
    <row r="36" spans="1:4" x14ac:dyDescent="0.2">
      <c r="A36" s="1" t="s">
        <v>2175</v>
      </c>
      <c r="B36" s="1" t="s">
        <v>2189</v>
      </c>
      <c r="C36" s="24" t="s">
        <v>9</v>
      </c>
      <c r="D36" s="2" t="str">
        <f>IF(Configuration!D212&lt;&gt;"",Configuration!D212,"")</f>
        <v>http://www.fhlbny.com/hdp</v>
      </c>
    </row>
    <row r="37" spans="1:4" x14ac:dyDescent="0.2">
      <c r="A37" s="1" t="s">
        <v>2174</v>
      </c>
      <c r="B37" s="1" t="s">
        <v>2190</v>
      </c>
      <c r="C37" s="24" t="s">
        <v>9</v>
      </c>
      <c r="D37" s="2" t="str">
        <f>IF(Configuration!M212&lt;&gt;"",Configuration!M212,"")</f>
        <v>FHLBNY Homebuyer Dream Program (HDP) Webpage</v>
      </c>
    </row>
    <row r="38" spans="1:4" x14ac:dyDescent="0.2">
      <c r="A38" s="1" t="s">
        <v>2176</v>
      </c>
      <c r="B38" s="1" t="s">
        <v>2191</v>
      </c>
      <c r="C38" s="24" t="s">
        <v>9</v>
      </c>
      <c r="D38" s="2" t="str">
        <f>IF(Configuration!D213&lt;&gt;"",Configuration!D213,"")</f>
        <v/>
      </c>
    </row>
    <row r="39" spans="1:4" x14ac:dyDescent="0.2">
      <c r="A39" s="1" t="s">
        <v>2177</v>
      </c>
      <c r="B39" s="1" t="s">
        <v>2192</v>
      </c>
      <c r="C39" s="24" t="s">
        <v>9</v>
      </c>
      <c r="D39" s="2" t="str">
        <f>IF(Configuration!M213&lt;&gt;"",Configuration!M213,"")</f>
        <v/>
      </c>
    </row>
    <row r="40" spans="1:4" x14ac:dyDescent="0.2">
      <c r="A40" s="1" t="s">
        <v>2178</v>
      </c>
      <c r="B40" s="1" t="s">
        <v>2193</v>
      </c>
      <c r="C40" s="24" t="s">
        <v>9</v>
      </c>
      <c r="D40" s="2" t="str">
        <f>IF(Configuration!D214&lt;&gt;"",Configuration!D214,"")</f>
        <v/>
      </c>
    </row>
    <row r="41" spans="1:4" x14ac:dyDescent="0.2">
      <c r="A41" s="1" t="s">
        <v>2179</v>
      </c>
      <c r="B41" s="1" t="s">
        <v>2194</v>
      </c>
      <c r="C41" s="24" t="s">
        <v>9</v>
      </c>
      <c r="D41" s="2" t="str">
        <f>IF(Configuration!M214&lt;&gt;"",Configuration!M214,"")</f>
        <v/>
      </c>
    </row>
    <row r="42" spans="1:4" x14ac:dyDescent="0.2">
      <c r="A42" s="1" t="s">
        <v>2180</v>
      </c>
      <c r="B42" s="1" t="s">
        <v>2195</v>
      </c>
      <c r="C42" s="24" t="s">
        <v>9</v>
      </c>
      <c r="D42" s="2" t="str">
        <f>IF(Configuration!D215&lt;&gt;"",Configuration!D215,"")</f>
        <v/>
      </c>
    </row>
    <row r="43" spans="1:4" x14ac:dyDescent="0.2">
      <c r="A43" s="1" t="s">
        <v>2181</v>
      </c>
      <c r="B43" s="1" t="s">
        <v>2196</v>
      </c>
      <c r="C43" s="24" t="s">
        <v>9</v>
      </c>
      <c r="D43" s="2" t="str">
        <f>IF(Configuration!M215&lt;&gt;"",Configuration!M215,"")</f>
        <v/>
      </c>
    </row>
    <row r="44" spans="1:4" x14ac:dyDescent="0.2">
      <c r="A44" s="1" t="s">
        <v>2182</v>
      </c>
      <c r="B44" s="1" t="s">
        <v>2197</v>
      </c>
      <c r="C44" s="24" t="s">
        <v>9</v>
      </c>
      <c r="D44" s="2" t="str">
        <f>IF(Configuration!D216&lt;&gt;"",Configuration!D216,"")</f>
        <v/>
      </c>
    </row>
    <row r="45" spans="1:4" x14ac:dyDescent="0.2">
      <c r="A45" s="1" t="s">
        <v>2183</v>
      </c>
      <c r="B45" s="1" t="s">
        <v>2198</v>
      </c>
      <c r="C45" s="24" t="s">
        <v>9</v>
      </c>
      <c r="D45" s="2" t="str">
        <f>IF(Configuration!M216&lt;&gt;"",Configuration!M216,"")</f>
        <v/>
      </c>
    </row>
    <row r="46" spans="1:4" x14ac:dyDescent="0.2">
      <c r="A46" s="1" t="s">
        <v>2184</v>
      </c>
      <c r="B46" s="1" t="s">
        <v>2199</v>
      </c>
      <c r="C46" s="24" t="s">
        <v>9</v>
      </c>
      <c r="D46" s="2" t="str">
        <f>IF(Configuration!D217&lt;&gt;"",Configuration!D217,"")</f>
        <v/>
      </c>
    </row>
    <row r="47" spans="1:4" x14ac:dyDescent="0.2">
      <c r="A47" s="1" t="s">
        <v>2185</v>
      </c>
      <c r="B47" s="1" t="s">
        <v>2200</v>
      </c>
      <c r="C47" s="24" t="s">
        <v>9</v>
      </c>
      <c r="D47" s="2" t="str">
        <f>IF(Configuration!M217&lt;&gt;"",Configuration!M217,"")</f>
        <v/>
      </c>
    </row>
    <row r="48" spans="1:4" x14ac:dyDescent="0.2">
      <c r="A48" s="1" t="s">
        <v>2943</v>
      </c>
      <c r="B48" s="1" t="s">
        <v>2944</v>
      </c>
      <c r="C48" s="1" t="s">
        <v>9</v>
      </c>
      <c r="D48" s="254" t="s">
        <v>2948</v>
      </c>
    </row>
  </sheetData>
  <sheetProtection algorithmName="SHA-512" hashValue="uNCYu16IwO+EyR8maADgZAgp1mxTegtEOLTLpw+kk1VTG7ucPKw6/7pqQ0NgxskLj8oIY0jqUNvxcGF8zyucLQ==" saltValue="zz6HPuXG1wZ9tucrUfxSlw==" spinCount="100000" sheet="1" objects="1" scenarios="1"/>
  <pageMargins left="0.7" right="0.7" top="0.75" bottom="0.75" header="0.3" footer="0.3"/>
  <pageSetup orientation="portrait" r:id="rId1"/>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C000"/>
  </sheetPr>
  <dimension ref="A1:E2"/>
  <sheetViews>
    <sheetView workbookViewId="0">
      <selection activeCell="I2" sqref="I2:L2"/>
    </sheetView>
  </sheetViews>
  <sheetFormatPr defaultRowHeight="15" x14ac:dyDescent="0.25"/>
  <cols>
    <col min="1" max="1" width="20.7109375" customWidth="1"/>
    <col min="2" max="2" width="33.140625" customWidth="1"/>
    <col min="3" max="3" width="22.28515625" customWidth="1"/>
    <col min="4" max="4" width="25.5703125" customWidth="1"/>
    <col min="5" max="5" width="18.5703125" customWidth="1"/>
  </cols>
  <sheetData>
    <row r="1" spans="1:5" x14ac:dyDescent="0.25">
      <c r="A1" s="160" t="s">
        <v>2218</v>
      </c>
      <c r="B1" s="161" t="s">
        <v>2219</v>
      </c>
      <c r="C1" s="161" t="s">
        <v>192</v>
      </c>
      <c r="D1" s="161" t="s">
        <v>2250</v>
      </c>
      <c r="E1" s="161" t="s">
        <v>2933</v>
      </c>
    </row>
    <row r="2" spans="1:5" x14ac:dyDescent="0.25">
      <c r="A2" s="162" t="str">
        <f ca="1">VLOOKUP(A1,DB_TBL_DATA_FIELDS[[FIELD_ID]:[FIELD_VALUE_CLEAN]],10,FALSE)</f>
        <v>RES</v>
      </c>
      <c r="B2" s="163" t="str">
        <f ca="1">VLOOKUP(B1,DB_TBL_DATA_FIELDS[[FIELD_ID]:[FIELD_VALUE_CLEAN]],10,FALSE)</f>
        <v>R00XXXXXX001000</v>
      </c>
      <c r="C2" s="163" t="str">
        <f>VLOOKUP(C1,DB_TBL_DATA_FIELDS[[FIELD_ID]:[FIELD_VALUE_CLEAN]],10,FALSE)</f>
        <v>5.0.0</v>
      </c>
      <c r="D2" s="163" t="str">
        <f ca="1">VLOOKUP(D1,DB_TBL_DATA_FIELDS[[FIELD_ID]:[FIELD_VALUE_CLEAN]],10,FALSE)</f>
        <v>N</v>
      </c>
      <c r="E2" s="253">
        <f>CONFIG_FHC_PROG_ID</f>
        <v>2</v>
      </c>
    </row>
  </sheetData>
  <sheetProtection algorithmName="SHA-512" hashValue="7WrRCD8VV0KbcCthZea89D7DhZD7Injye2IrYmMuC7SEcUaVhjVjmhLYgWvG0xVYIEXAAZx7Cie3bO71IqVQqQ==" saltValue="Tc2aoXWIJOGQEIV5Ec023w==" spinCount="100000" sheet="1" objects="1" scenarios="1"/>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C000"/>
  </sheetPr>
  <dimension ref="A1:BF2"/>
  <sheetViews>
    <sheetView workbookViewId="0">
      <selection activeCell="I2" sqref="I2:L2"/>
    </sheetView>
  </sheetViews>
  <sheetFormatPr defaultRowHeight="15" x14ac:dyDescent="0.25"/>
  <cols>
    <col min="1" max="1" width="18.85546875" bestFit="1" customWidth="1"/>
    <col min="2" max="2" width="32.28515625" customWidth="1"/>
    <col min="3" max="3" width="20.42578125" bestFit="1" customWidth="1"/>
    <col min="4" max="4" width="23.85546875" bestFit="1" customWidth="1"/>
    <col min="5" max="5" width="15.7109375" bestFit="1" customWidth="1"/>
    <col min="6" max="6" width="31.42578125" bestFit="1" customWidth="1"/>
    <col min="7" max="7" width="30.85546875" bestFit="1" customWidth="1"/>
    <col min="8" max="8" width="25.5703125" bestFit="1" customWidth="1"/>
    <col min="9" max="9" width="26.28515625" bestFit="1" customWidth="1"/>
    <col min="10" max="10" width="19.7109375" bestFit="1" customWidth="1"/>
    <col min="11" max="11" width="25.140625" bestFit="1" customWidth="1"/>
    <col min="12" max="12" width="24.5703125" bestFit="1" customWidth="1"/>
    <col min="13" max="13" width="17.5703125" bestFit="1" customWidth="1"/>
    <col min="14" max="14" width="23" bestFit="1" customWidth="1"/>
    <col min="15" max="15" width="22.42578125" bestFit="1" customWidth="1"/>
    <col min="16" max="16" width="19.7109375" bestFit="1" customWidth="1"/>
    <col min="17" max="17" width="25.140625" bestFit="1" customWidth="1"/>
    <col min="18" max="18" width="24.5703125" bestFit="1" customWidth="1"/>
    <col min="19" max="19" width="13.85546875" bestFit="1" customWidth="1"/>
    <col min="20" max="20" width="19.42578125" bestFit="1" customWidth="1"/>
    <col min="21" max="21" width="20.140625" bestFit="1" customWidth="1"/>
    <col min="22" max="22" width="17.5703125" bestFit="1" customWidth="1"/>
    <col min="23" max="23" width="20.28515625" bestFit="1" customWidth="1"/>
    <col min="24" max="24" width="19" bestFit="1" customWidth="1"/>
    <col min="25" max="25" width="28.7109375" bestFit="1" customWidth="1"/>
    <col min="26" max="26" width="24" bestFit="1" customWidth="1"/>
    <col min="27" max="27" width="23" bestFit="1" customWidth="1"/>
    <col min="28" max="28" width="14.140625" bestFit="1" customWidth="1"/>
    <col min="29" max="29" width="19.7109375" bestFit="1" customWidth="1"/>
    <col min="30" max="30" width="20.42578125" bestFit="1" customWidth="1"/>
    <col min="31" max="31" width="17.85546875" bestFit="1" customWidth="1"/>
    <col min="32" max="32" width="20.5703125" bestFit="1" customWidth="1"/>
    <col min="33" max="33" width="19.28515625" bestFit="1" customWidth="1"/>
    <col min="34" max="34" width="29" bestFit="1" customWidth="1"/>
    <col min="35" max="35" width="18.5703125" bestFit="1" customWidth="1"/>
    <col min="36" max="36" width="19.28515625" bestFit="1" customWidth="1"/>
    <col min="37" max="37" width="23.28515625" bestFit="1" customWidth="1"/>
    <col min="38" max="38" width="18.28515625" bestFit="1" customWidth="1"/>
    <col min="39" max="39" width="16.28515625" bestFit="1" customWidth="1"/>
    <col min="40" max="40" width="17.28515625" bestFit="1" customWidth="1"/>
    <col min="41" max="41" width="26" bestFit="1" customWidth="1"/>
    <col min="42" max="42" width="20.85546875" bestFit="1" customWidth="1"/>
    <col min="43" max="43" width="23.28515625" customWidth="1"/>
    <col min="44" max="44" width="20.28515625" bestFit="1" customWidth="1"/>
    <col min="45" max="45" width="26.5703125" bestFit="1" customWidth="1"/>
    <col min="46" max="46" width="25.42578125" customWidth="1"/>
    <col min="47" max="47" width="29.85546875" bestFit="1" customWidth="1"/>
    <col min="48" max="48" width="27.7109375" bestFit="1" customWidth="1"/>
    <col min="49" max="49" width="27.5703125" bestFit="1" customWidth="1"/>
    <col min="50" max="50" width="25.5703125" bestFit="1" customWidth="1"/>
    <col min="51" max="51" width="29.85546875" bestFit="1" customWidth="1"/>
    <col min="52" max="52" width="27.7109375" bestFit="1" customWidth="1"/>
    <col min="53" max="53" width="17.28515625" bestFit="1" customWidth="1"/>
    <col min="54" max="54" width="21.140625" bestFit="1" customWidth="1"/>
    <col min="55" max="55" width="25.5703125" bestFit="1" customWidth="1"/>
    <col min="56" max="56" width="24.28515625" bestFit="1" customWidth="1"/>
    <col min="57" max="57" width="29.42578125" bestFit="1" customWidth="1"/>
    <col min="58" max="58" width="35.42578125" customWidth="1"/>
  </cols>
  <sheetData>
    <row r="1" spans="1:58" x14ac:dyDescent="0.25">
      <c r="A1" s="22" t="s">
        <v>2218</v>
      </c>
      <c r="B1" s="22" t="s">
        <v>2219</v>
      </c>
      <c r="C1" s="22" t="s">
        <v>192</v>
      </c>
      <c r="D1" s="22" t="s">
        <v>2250</v>
      </c>
      <c r="E1" s="22" t="s">
        <v>2247</v>
      </c>
      <c r="F1" s="22" t="s">
        <v>2248</v>
      </c>
      <c r="G1" s="22" t="s">
        <v>2249</v>
      </c>
      <c r="H1" s="22" t="s">
        <v>2256</v>
      </c>
      <c r="I1" s="22" t="s">
        <v>2257</v>
      </c>
      <c r="J1" s="22" t="s">
        <v>2263</v>
      </c>
      <c r="K1" s="22" t="s">
        <v>2264</v>
      </c>
      <c r="L1" s="22" t="s">
        <v>2265</v>
      </c>
      <c r="M1" s="22" t="s">
        <v>2268</v>
      </c>
      <c r="N1" s="22" t="s">
        <v>2269</v>
      </c>
      <c r="O1" s="22" t="s">
        <v>2270</v>
      </c>
      <c r="P1" s="22" t="s">
        <v>2271</v>
      </c>
      <c r="Q1" s="22" t="s">
        <v>2272</v>
      </c>
      <c r="R1" s="22" t="s">
        <v>2277</v>
      </c>
      <c r="S1" s="22" t="s">
        <v>2278</v>
      </c>
      <c r="T1" s="22" t="s">
        <v>2279</v>
      </c>
      <c r="U1" s="22" t="s">
        <v>2280</v>
      </c>
      <c r="V1" s="22" t="s">
        <v>2281</v>
      </c>
      <c r="W1" s="22" t="s">
        <v>2282</v>
      </c>
      <c r="X1" s="22" t="s">
        <v>2283</v>
      </c>
      <c r="Y1" s="22" t="s">
        <v>2284</v>
      </c>
      <c r="Z1" s="22" t="s">
        <v>2311</v>
      </c>
      <c r="AA1" s="22" t="s">
        <v>2316</v>
      </c>
      <c r="AB1" s="22" t="s">
        <v>2319</v>
      </c>
      <c r="AC1" s="22" t="s">
        <v>2320</v>
      </c>
      <c r="AD1" s="22" t="s">
        <v>2321</v>
      </c>
      <c r="AE1" s="22" t="s">
        <v>2322</v>
      </c>
      <c r="AF1" s="22" t="s">
        <v>2323</v>
      </c>
      <c r="AG1" s="22" t="s">
        <v>2324</v>
      </c>
      <c r="AH1" s="22" t="s">
        <v>2325</v>
      </c>
      <c r="AI1" s="22" t="s">
        <v>2333</v>
      </c>
      <c r="AJ1" s="22" t="s">
        <v>2334</v>
      </c>
      <c r="AK1" s="22" t="s">
        <v>2335</v>
      </c>
      <c r="AL1" s="22" t="s">
        <v>2344</v>
      </c>
      <c r="AM1" s="22" t="s">
        <v>2345</v>
      </c>
      <c r="AN1" s="22" t="s">
        <v>2346</v>
      </c>
      <c r="AO1" s="22" t="s">
        <v>2347</v>
      </c>
      <c r="AP1" s="22" t="s">
        <v>2349</v>
      </c>
      <c r="AQ1" s="22" t="s">
        <v>2371</v>
      </c>
      <c r="AR1" s="22" t="s">
        <v>2373</v>
      </c>
      <c r="AS1" s="22" t="s">
        <v>2375</v>
      </c>
      <c r="AT1" s="22" t="s">
        <v>2377</v>
      </c>
      <c r="AU1" s="22" t="s">
        <v>2266</v>
      </c>
      <c r="AV1" s="22" t="s">
        <v>2267</v>
      </c>
      <c r="AW1" s="22" t="s">
        <v>2273</v>
      </c>
      <c r="AX1" s="22" t="s">
        <v>2274</v>
      </c>
      <c r="AY1" s="22" t="s">
        <v>2275</v>
      </c>
      <c r="AZ1" s="22" t="s">
        <v>2276</v>
      </c>
      <c r="BA1" s="22" t="s">
        <v>2309</v>
      </c>
      <c r="BB1" s="22" t="s">
        <v>2310</v>
      </c>
      <c r="BC1" s="22" t="s">
        <v>2905</v>
      </c>
      <c r="BD1" s="22" t="s">
        <v>2907</v>
      </c>
      <c r="BE1" s="22" t="s">
        <v>2908</v>
      </c>
      <c r="BF1" s="22" t="s">
        <v>2949</v>
      </c>
    </row>
    <row r="2" spans="1:58" x14ac:dyDescent="0.25">
      <c r="A2" s="23" t="str">
        <f ca="1">VLOOKUP(A1,DB_TBL_DATA_FIELDS[[FIELD_ID]:[FIELD_VALUE_CLEAN]],10,FALSE)</f>
        <v>RES</v>
      </c>
      <c r="B2" s="23" t="str">
        <f ca="1">VLOOKUP(B1,DB_TBL_DATA_FIELDS[[FIELD_ID]:[FIELD_VALUE_CLEAN]],10,FALSE)</f>
        <v>R00XXXXXX001000</v>
      </c>
      <c r="C2" s="23" t="str">
        <f>VLOOKUP(C1,DB_TBL_DATA_FIELDS[[FIELD_ID]:[FIELD_VALUE_CLEAN]],10,FALSE)</f>
        <v>5.0.0</v>
      </c>
      <c r="D2" s="23" t="str">
        <f ca="1">VLOOKUP(D1,DB_TBL_DATA_FIELDS[[FIELD_ID]:[FIELD_VALUE_CLEAN]],10,FALSE)</f>
        <v>N</v>
      </c>
      <c r="E2" s="23" t="str">
        <f ca="1">VLOOKUP(E1,DB_TBL_DATA_FIELDS[[FIELD_ID]:[FIELD_VALUE_CLEAN]],10,FALSE)</f>
        <v/>
      </c>
      <c r="F2" s="23" t="str">
        <f ca="1">VLOOKUP(F1,DB_TBL_DATA_FIELDS[[FIELD_ID]:[FIELD_VALUE_CLEAN]],10,FALSE)</f>
        <v/>
      </c>
      <c r="G2" s="23" t="str">
        <f ca="1">VLOOKUP(G1,DB_TBL_DATA_FIELDS[[FIELD_ID]:[FIELD_VALUE_CLEAN]],10,FALSE)</f>
        <v/>
      </c>
      <c r="H2" s="23" t="str">
        <f ca="1">VLOOKUP(H1,DB_TBL_DATA_FIELDS[[FIELD_ID]:[FIELD_VALUE_CLEAN]],10,FALSE)</f>
        <v/>
      </c>
      <c r="I2" s="23" t="str">
        <f ca="1">VLOOKUP(I1,DB_TBL_DATA_FIELDS[[FIELD_ID]:[FIELD_VALUE_CLEAN]],10,FALSE)</f>
        <v/>
      </c>
      <c r="J2" s="23" t="str">
        <f ca="1">VLOOKUP(J1,DB_TBL_DATA_FIELDS[[FIELD_ID]:[FIELD_VALUE_CLEAN]],10,FALSE)</f>
        <v/>
      </c>
      <c r="K2" s="23" t="str">
        <f ca="1">VLOOKUP(K1,DB_TBL_DATA_FIELDS[[FIELD_ID]:[FIELD_VALUE_CLEAN]],10,FALSE)</f>
        <v/>
      </c>
      <c r="L2" s="23" t="str">
        <f ca="1">VLOOKUP(L1,DB_TBL_DATA_FIELDS[[FIELD_ID]:[FIELD_VALUE_CLEAN]],10,FALSE)</f>
        <v/>
      </c>
      <c r="M2" s="23" t="str">
        <f ca="1">VLOOKUP(M1,DB_TBL_DATA_FIELDS[[FIELD_ID]:[FIELD_VALUE_CLEAN]],10,FALSE)</f>
        <v/>
      </c>
      <c r="N2" s="23" t="str">
        <f ca="1">VLOOKUP(N1,DB_TBL_DATA_FIELDS[[FIELD_ID]:[FIELD_VALUE_CLEAN]],10,FALSE)</f>
        <v/>
      </c>
      <c r="O2" s="23" t="str">
        <f ca="1">VLOOKUP(O1,DB_TBL_DATA_FIELDS[[FIELD_ID]:[FIELD_VALUE_CLEAN]],10,FALSE)</f>
        <v/>
      </c>
      <c r="P2" s="23" t="str">
        <f ca="1">VLOOKUP(P1,DB_TBL_DATA_FIELDS[[FIELD_ID]:[FIELD_VALUE_CLEAN]],10,FALSE)</f>
        <v/>
      </c>
      <c r="Q2" s="23" t="str">
        <f ca="1">VLOOKUP(Q1,DB_TBL_DATA_FIELDS[[FIELD_ID]:[FIELD_VALUE_CLEAN]],10,FALSE)</f>
        <v/>
      </c>
      <c r="R2" s="23" t="str">
        <f ca="1">VLOOKUP(R1,DB_TBL_DATA_FIELDS[[FIELD_ID]:[FIELD_VALUE_CLEAN]],10,FALSE)</f>
        <v/>
      </c>
      <c r="S2" s="23" t="str">
        <f ca="1">VLOOKUP(S1,DB_TBL_DATA_FIELDS[[FIELD_ID]:[FIELD_VALUE_CLEAN]],10,FALSE)</f>
        <v/>
      </c>
      <c r="T2" s="23" t="str">
        <f ca="1">VLOOKUP(T1,DB_TBL_DATA_FIELDS[[FIELD_ID]:[FIELD_VALUE_CLEAN]],10,FALSE)</f>
        <v/>
      </c>
      <c r="U2" s="23" t="str">
        <f ca="1">VLOOKUP(U1,DB_TBL_DATA_FIELDS[[FIELD_ID]:[FIELD_VALUE_CLEAN]],10,FALSE)</f>
        <v/>
      </c>
      <c r="V2" s="23" t="str">
        <f ca="1">VLOOKUP(V1,DB_TBL_DATA_FIELDS[[FIELD_ID]:[FIELD_VALUE_CLEAN]],10,FALSE)</f>
        <v/>
      </c>
      <c r="W2" s="23" t="str">
        <f ca="1">VLOOKUP(W1,DB_TBL_DATA_FIELDS[[FIELD_ID]:[FIELD_VALUE_CLEAN]],10,FALSE)</f>
        <v/>
      </c>
      <c r="X2" s="23" t="str">
        <f ca="1">VLOOKUP(X1,DB_TBL_DATA_FIELDS[[FIELD_ID]:[FIELD_VALUE_CLEAN]],10,FALSE)</f>
        <v/>
      </c>
      <c r="Y2" s="23" t="str">
        <f ca="1">VLOOKUP(Y1,DB_TBL_DATA_FIELDS[[FIELD_ID]:[FIELD_VALUE_CLEAN]],10,FALSE)</f>
        <v/>
      </c>
      <c r="Z2" s="23">
        <f ca="1">VLOOKUP(Z1,DB_TBL_DATA_FIELDS[[FIELD_ID]:[FIELD_VALUE_CLEAN]],10,FALSE)</f>
        <v>0</v>
      </c>
      <c r="AA2" s="23" t="str">
        <f ca="1">VLOOKUP(AA1,DB_TBL_DATA_FIELDS[[FIELD_ID]:[FIELD_VALUE_CLEAN]],10,FALSE)</f>
        <v/>
      </c>
      <c r="AB2" s="23" t="str">
        <f ca="1">VLOOKUP(AB1,DB_TBL_DATA_FIELDS[[FIELD_ID]:[FIELD_VALUE_CLEAN]],10,FALSE)</f>
        <v/>
      </c>
      <c r="AC2" s="23" t="str">
        <f ca="1">VLOOKUP(AC1,DB_TBL_DATA_FIELDS[[FIELD_ID]:[FIELD_VALUE_CLEAN]],10,FALSE)</f>
        <v/>
      </c>
      <c r="AD2" s="23" t="str">
        <f ca="1">VLOOKUP(AD1,DB_TBL_DATA_FIELDS[[FIELD_ID]:[FIELD_VALUE_CLEAN]],10,FALSE)</f>
        <v/>
      </c>
      <c r="AE2" s="23" t="str">
        <f ca="1">VLOOKUP(AE1,DB_TBL_DATA_FIELDS[[FIELD_ID]:[FIELD_VALUE_CLEAN]],10,FALSE)</f>
        <v/>
      </c>
      <c r="AF2" s="23" t="str">
        <f ca="1">VLOOKUP(AF1,DB_TBL_DATA_FIELDS[[FIELD_ID]:[FIELD_VALUE_CLEAN]],10,FALSE)</f>
        <v/>
      </c>
      <c r="AG2" s="23" t="str">
        <f ca="1">VLOOKUP(AG1,DB_TBL_DATA_FIELDS[[FIELD_ID]:[FIELD_VALUE_CLEAN]],10,FALSE)</f>
        <v/>
      </c>
      <c r="AH2" s="23" t="str">
        <f ca="1">VLOOKUP(AH1,DB_TBL_DATA_FIELDS[[FIELD_ID]:[FIELD_VALUE_CLEAN]],10,FALSE)</f>
        <v/>
      </c>
      <c r="AI2" s="23" t="str">
        <f ca="1">VLOOKUP(AI1,DB_TBL_DATA_FIELDS[[FIELD_ID]:[FIELD_VALUE_CLEAN]],10,FALSE)</f>
        <v/>
      </c>
      <c r="AJ2" s="23" t="str">
        <f ca="1">VLOOKUP(AJ1,DB_TBL_DATA_FIELDS[[FIELD_ID]:[FIELD_VALUE_CLEAN]],10,FALSE)</f>
        <v/>
      </c>
      <c r="AK2" s="23" t="str">
        <f ca="1">VLOOKUP(AK1,DB_TBL_DATA_FIELDS[[FIELD_ID]:[FIELD_VALUE_CLEAN]],10,FALSE)</f>
        <v/>
      </c>
      <c r="AL2" s="23" t="str">
        <f ca="1">VLOOKUP(AL1,DB_TBL_DATA_FIELDS[[FIELD_ID]:[FIELD_VALUE_CLEAN]],10,FALSE)</f>
        <v/>
      </c>
      <c r="AM2" s="23" t="str">
        <f ca="1">VLOOKUP(AM1,DB_TBL_DATA_FIELDS[[FIELD_ID]:[FIELD_VALUE_CLEAN]],10,FALSE)</f>
        <v/>
      </c>
      <c r="AN2" s="23" t="str">
        <f ca="1">VLOOKUP(AN1,DB_TBL_DATA_FIELDS[[FIELD_ID]:[FIELD_VALUE_CLEAN]],10,FALSE)</f>
        <v/>
      </c>
      <c r="AO2" s="23" t="str">
        <f ca="1">VLOOKUP(AO1,DB_TBL_DATA_FIELDS[[FIELD_ID]:[FIELD_VALUE_CLEAN]],10,FALSE)</f>
        <v/>
      </c>
      <c r="AP2" s="23" t="str">
        <f ca="1">VLOOKUP(AP1,DB_TBL_DATA_FIELDS[[FIELD_ID]:[FIELD_VALUE_CLEAN]],10,FALSE)</f>
        <v/>
      </c>
      <c r="AQ2" s="23" t="str">
        <f ca="1">VLOOKUP(AQ1,DB_TBL_DATA_FIELDS[[FIELD_ID]:[FIELD_VALUE_CLEAN]],10,FALSE)</f>
        <v/>
      </c>
      <c r="AR2" s="23" t="str">
        <f>VLOOKUP(AR1,DB_TBL_DATA_FIELDS[[FIELD_ID]:[FIELD_VALUE_CLEAN]],10,FALSE)</f>
        <v>N</v>
      </c>
      <c r="AS2" s="23" t="str">
        <f ca="1">VLOOKUP(AS1,DB_TBL_DATA_FIELDS[[FIELD_ID]:[FIELD_VALUE_CLEAN]],10,FALSE)</f>
        <v/>
      </c>
      <c r="AT2" s="23" t="str">
        <f ca="1">VLOOKUP(AT1,DB_TBL_DATA_FIELDS[[FIELD_ID]:[FIELD_VALUE_CLEAN]],10,FALSE)</f>
        <v/>
      </c>
      <c r="AU2" s="23" t="str">
        <f ca="1">VLOOKUP(AU1,DB_TBL_DATA_FIELDS[[FIELD_ID]:[FIELD_VALUE_CLEAN]],10,FALSE)</f>
        <v/>
      </c>
      <c r="AV2" s="23" t="str">
        <f ca="1">VLOOKUP(AV1,DB_TBL_DATA_FIELDS[[FIELD_ID]:[FIELD_VALUE_CLEAN]],10,FALSE)</f>
        <v/>
      </c>
      <c r="AW2" s="23" t="str">
        <f ca="1">VLOOKUP(AW1,DB_TBL_DATA_FIELDS[[FIELD_ID]:[FIELD_VALUE_CLEAN]],10,FALSE)</f>
        <v/>
      </c>
      <c r="AX2" s="23" t="str">
        <f>VLOOKUP(AX1,DB_TBL_DATA_FIELDS[[FIELD_ID]:[FIELD_VALUE_CLEAN]],10,FALSE)</f>
        <v/>
      </c>
      <c r="AY2" s="23" t="str">
        <f ca="1">VLOOKUP(AY1,DB_TBL_DATA_FIELDS[[FIELD_ID]:[FIELD_VALUE_CLEAN]],10,FALSE)</f>
        <v/>
      </c>
      <c r="AZ2" s="23" t="str">
        <f>VLOOKUP(AZ1,DB_TBL_DATA_FIELDS[[FIELD_ID]:[FIELD_VALUE_CLEAN]],10,FALSE)</f>
        <v/>
      </c>
      <c r="BA2" s="23" t="str">
        <f ca="1">VLOOKUP(BA1,DB_TBL_DATA_FIELDS[[FIELD_ID]:[FIELD_VALUE_CLEAN]],10,FALSE)</f>
        <v/>
      </c>
      <c r="BB2" s="23" t="str">
        <f ca="1">VLOOKUP(BB1,DB_TBL_DATA_FIELDS[[FIELD_ID]:[FIELD_VALUE_CLEAN]],10,FALSE)</f>
        <v/>
      </c>
      <c r="BC2" s="23" t="str">
        <f ca="1">VLOOKUP(BC1,DB_TBL_DATA_FIELDS[[FIELD_ID]:[FIELD_VALUE_CLEAN]],10,FALSE)</f>
        <v/>
      </c>
      <c r="BD2" s="23" t="str">
        <f ca="1">VLOOKUP(BD1,DB_TBL_DATA_FIELDS[[FIELD_ID]:[FIELD_VALUE_CLEAN]],10,FALSE)</f>
        <v/>
      </c>
      <c r="BE2" s="23" t="str">
        <f ca="1">VLOOKUP(BE1,DB_TBL_DATA_FIELDS[[FIELD_ID]:[FIELD_VALUE_CLEAN]],10,FALSE)</f>
        <v/>
      </c>
      <c r="BF2" s="23" t="str">
        <f ca="1">VLOOKUP(BF1,DB_TBL_DATA_FIELDS[[FIELD_ID]:[FIELD_VALUE_CLEAN]],10,FALSE)</f>
        <v/>
      </c>
    </row>
  </sheetData>
  <sheetProtection algorithmName="SHA-512" hashValue="idfYJ2cDIFYFvPrvUpxspZpQeqmWAtATxhtayYeqqO7XmgZLAt4/4qjiRkjDD702upVUWWFkwS6CyCH4bfFMFg==" saltValue="W10d8Z/eosjnCdc9AJgnyg==" spinCount="100000" sheet="1" objects="1" scenarios="1"/>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sheetPr>
  <dimension ref="A1:AR2"/>
  <sheetViews>
    <sheetView workbookViewId="0">
      <selection activeCell="I2" sqref="I2:L2"/>
    </sheetView>
  </sheetViews>
  <sheetFormatPr defaultRowHeight="15" x14ac:dyDescent="0.25"/>
  <cols>
    <col min="1" max="1" width="20.7109375" customWidth="1"/>
    <col min="2" max="2" width="28.5703125" bestFit="1" customWidth="1"/>
    <col min="3" max="3" width="22.28515625" customWidth="1"/>
    <col min="4" max="4" width="25.5703125" customWidth="1"/>
    <col min="5" max="5" width="17.7109375" customWidth="1"/>
    <col min="6" max="6" width="32.85546875" customWidth="1"/>
    <col min="7" max="7" width="32.28515625" customWidth="1"/>
    <col min="8" max="8" width="27.140625" customWidth="1"/>
    <col min="9" max="9" width="27.85546875" customWidth="1"/>
    <col min="10" max="10" width="13.85546875" bestFit="1" customWidth="1"/>
    <col min="11" max="11" width="27.42578125" bestFit="1" customWidth="1"/>
    <col min="12" max="12" width="26.85546875" bestFit="1" customWidth="1"/>
    <col min="13" max="14" width="26.85546875" customWidth="1"/>
    <col min="15" max="15" width="26.28515625" bestFit="1" customWidth="1"/>
    <col min="16" max="16" width="24.42578125" bestFit="1" customWidth="1"/>
    <col min="17" max="17" width="23" bestFit="1" customWidth="1"/>
    <col min="18" max="18" width="27.140625" bestFit="1" customWidth="1"/>
    <col min="19" max="19" width="25.28515625" bestFit="1" customWidth="1"/>
    <col min="20" max="20" width="6.42578125" bestFit="1" customWidth="1"/>
    <col min="21" max="21" width="30.42578125" bestFit="1" customWidth="1"/>
    <col min="22" max="22" width="22.5703125" bestFit="1" customWidth="1"/>
    <col min="23" max="23" width="24.85546875" bestFit="1" customWidth="1"/>
    <col min="24" max="24" width="25.140625" bestFit="1" customWidth="1"/>
    <col min="25" max="25" width="25.7109375" bestFit="1" customWidth="1"/>
    <col min="26" max="26" width="25" bestFit="1" customWidth="1"/>
    <col min="27" max="27" width="25.5703125" bestFit="1" customWidth="1"/>
    <col min="28" max="28" width="27.42578125" bestFit="1" customWidth="1"/>
    <col min="29" max="29" width="27.85546875" bestFit="1" customWidth="1"/>
    <col min="30" max="30" width="28.42578125" bestFit="1" customWidth="1"/>
    <col min="31" max="31" width="30.7109375" bestFit="1" customWidth="1"/>
    <col min="32" max="32" width="31.5703125" bestFit="1" customWidth="1"/>
    <col min="33" max="33" width="33.42578125" bestFit="1" customWidth="1"/>
    <col min="34" max="34" width="34.28515625" bestFit="1" customWidth="1"/>
    <col min="35" max="35" width="31.28515625" bestFit="1" customWidth="1"/>
    <col min="36" max="36" width="32.28515625" bestFit="1" customWidth="1"/>
    <col min="37" max="37" width="33.42578125" bestFit="1" customWidth="1"/>
    <col min="38" max="38" width="34.28515625" bestFit="1" customWidth="1"/>
    <col min="39" max="39" width="26.42578125" bestFit="1" customWidth="1"/>
    <col min="40" max="40" width="27.28515625" bestFit="1" customWidth="1"/>
    <col min="41" max="41" width="34.7109375" bestFit="1" customWidth="1"/>
    <col min="42" max="42" width="27.85546875" bestFit="1" customWidth="1"/>
    <col min="43" max="43" width="26.5703125" bestFit="1" customWidth="1"/>
    <col min="44" max="44" width="31.7109375" bestFit="1" customWidth="1"/>
  </cols>
  <sheetData>
    <row r="1" spans="1:44" x14ac:dyDescent="0.25">
      <c r="A1" s="160" t="s">
        <v>2218</v>
      </c>
      <c r="B1" s="161" t="s">
        <v>2219</v>
      </c>
      <c r="C1" s="161" t="s">
        <v>192</v>
      </c>
      <c r="D1" s="161" t="s">
        <v>2250</v>
      </c>
      <c r="E1" s="161" t="s">
        <v>2247</v>
      </c>
      <c r="F1" s="161" t="s">
        <v>2248</v>
      </c>
      <c r="G1" s="161" t="s">
        <v>2249</v>
      </c>
      <c r="H1" s="161" t="s">
        <v>2256</v>
      </c>
      <c r="I1" s="164" t="s">
        <v>2257</v>
      </c>
      <c r="J1" s="161" t="s">
        <v>2521</v>
      </c>
      <c r="K1" s="161" t="s">
        <v>2264</v>
      </c>
      <c r="L1" s="161" t="s">
        <v>2265</v>
      </c>
      <c r="M1" s="173" t="s">
        <v>2309</v>
      </c>
      <c r="N1" s="173" t="s">
        <v>2310</v>
      </c>
      <c r="O1" s="168" t="s">
        <v>2311</v>
      </c>
      <c r="P1" s="168" t="s">
        <v>2377</v>
      </c>
      <c r="Q1" s="168" t="s">
        <v>2545</v>
      </c>
      <c r="R1" s="168" t="s">
        <v>2540</v>
      </c>
      <c r="S1" s="168" t="s">
        <v>2541</v>
      </c>
      <c r="T1" s="168" t="s">
        <v>2542</v>
      </c>
      <c r="U1" s="168" t="s">
        <v>2543</v>
      </c>
      <c r="V1" s="168" t="s">
        <v>2546</v>
      </c>
      <c r="W1" s="168" t="s">
        <v>2544</v>
      </c>
      <c r="X1" s="168" t="s">
        <v>2547</v>
      </c>
      <c r="Y1" s="168" t="s">
        <v>2548</v>
      </c>
      <c r="Z1" s="168" t="s">
        <v>2549</v>
      </c>
      <c r="AA1" s="168" t="s">
        <v>2550</v>
      </c>
      <c r="AB1" s="168" t="s">
        <v>2551</v>
      </c>
      <c r="AC1" s="168" t="s">
        <v>2552</v>
      </c>
      <c r="AD1" s="168" t="s">
        <v>2553</v>
      </c>
      <c r="AE1" s="168" t="s">
        <v>2554</v>
      </c>
      <c r="AF1" s="168" t="s">
        <v>2555</v>
      </c>
      <c r="AG1" s="168" t="s">
        <v>2556</v>
      </c>
      <c r="AH1" s="168" t="s">
        <v>2557</v>
      </c>
      <c r="AI1" s="168" t="s">
        <v>2558</v>
      </c>
      <c r="AJ1" s="168" t="s">
        <v>2559</v>
      </c>
      <c r="AK1" s="168" t="s">
        <v>2560</v>
      </c>
      <c r="AL1" s="168" t="s">
        <v>2561</v>
      </c>
      <c r="AM1" s="168" t="s">
        <v>2563</v>
      </c>
      <c r="AN1" s="168" t="s">
        <v>2562</v>
      </c>
      <c r="AO1" s="168" t="s">
        <v>2888</v>
      </c>
      <c r="AP1" s="168" t="s">
        <v>2905</v>
      </c>
      <c r="AQ1" s="168" t="s">
        <v>2907</v>
      </c>
      <c r="AR1" s="168" t="s">
        <v>2908</v>
      </c>
    </row>
    <row r="2" spans="1:44" x14ac:dyDescent="0.25">
      <c r="A2" s="162" t="str">
        <f ca="1">VLOOKUP(A1,DB_TBL_DATA_FIELDS[[FIELD_ID]:[FIELD_VALUE_CLEAN]],10,FALSE)</f>
        <v>RES</v>
      </c>
      <c r="B2" s="163" t="str">
        <f ca="1">VLOOKUP(B1,DB_TBL_DATA_FIELDS[[FIELD_ID]:[FIELD_VALUE_CLEAN]],10,FALSE)</f>
        <v>R00XXXXXX001000</v>
      </c>
      <c r="C2" s="163" t="str">
        <f>VLOOKUP(C1,DB_TBL_DATA_FIELDS[[FIELD_ID]:[FIELD_VALUE_CLEAN]],10,FALSE)</f>
        <v>5.0.0</v>
      </c>
      <c r="D2" s="163" t="str">
        <f ca="1">VLOOKUP(D1,DB_TBL_DATA_FIELDS[[FIELD_ID]:[FIELD_VALUE_CLEAN]],10,FALSE)</f>
        <v>N</v>
      </c>
      <c r="E2" s="163" t="str">
        <f ca="1">VLOOKUP(E1,DB_TBL_DATA_FIELDS[[FIELD_ID]:[FIELD_VALUE_CLEAN]],10,FALSE)</f>
        <v/>
      </c>
      <c r="F2" s="163" t="str">
        <f ca="1">VLOOKUP(F1,DB_TBL_DATA_FIELDS[[FIELD_ID]:[FIELD_VALUE_CLEAN]],10,FALSE)</f>
        <v/>
      </c>
      <c r="G2" s="163" t="str">
        <f ca="1">VLOOKUP(G1,DB_TBL_DATA_FIELDS[[FIELD_ID]:[FIELD_VALUE_CLEAN]],10,FALSE)</f>
        <v/>
      </c>
      <c r="H2" s="163" t="str">
        <f ca="1">VLOOKUP(H1,DB_TBL_DATA_FIELDS[[FIELD_ID]:[FIELD_VALUE_CLEAN]],10,FALSE)</f>
        <v/>
      </c>
      <c r="I2" s="165" t="str">
        <f ca="1">VLOOKUP(I1,DB_TBL_DATA_FIELDS[[FIELD_ID]:[FIELD_VALUE_CLEAN]],10,FALSE)</f>
        <v/>
      </c>
      <c r="J2" s="165" t="str">
        <f ca="1">VLOOKUP(J1,DB_TBL_DATA_FIELDS[[FIELD_ID]:[FIELD_VALUE_CLEAN]],10,FALSE)</f>
        <v/>
      </c>
      <c r="K2" s="165" t="str">
        <f ca="1">VLOOKUP(K1,DB_TBL_DATA_FIELDS[[FIELD_ID]:[FIELD_VALUE_CLEAN]],10,FALSE)</f>
        <v/>
      </c>
      <c r="L2" s="165" t="str">
        <f ca="1">VLOOKUP(L1,DB_TBL_DATA_FIELDS[[FIELD_ID]:[FIELD_VALUE_CLEAN]],10,FALSE)</f>
        <v/>
      </c>
      <c r="M2" s="165" t="str">
        <f ca="1">VLOOKUP(M1,DB_TBL_DATA_FIELDS[[FIELD_ID]:[FIELD_VALUE_CLEAN]],10,FALSE)</f>
        <v/>
      </c>
      <c r="N2" s="165" t="str">
        <f ca="1">VLOOKUP(N1,DB_TBL_DATA_FIELDS[[FIELD_ID]:[FIELD_VALUE_CLEAN]],10,FALSE)</f>
        <v/>
      </c>
      <c r="O2" s="165">
        <f ca="1">VLOOKUP(O1,DB_TBL_DATA_FIELDS[[FIELD_ID]:[FIELD_VALUE_CLEAN]],10,FALSE)</f>
        <v>0</v>
      </c>
      <c r="P2" s="165" t="str">
        <f ca="1">VLOOKUP(P1,DB_TBL_DATA_FIELDS[[FIELD_ID]:[FIELD_VALUE_CLEAN]],10,FALSE)</f>
        <v/>
      </c>
      <c r="Q2" s="165" t="str">
        <f ca="1">VLOOKUP(Q1,DB_TBL_DATA_FIELDS[[FIELD_ID]:[FIELD_VALUE_CLEAN]],10,FALSE)</f>
        <v/>
      </c>
      <c r="R2" s="165" t="str">
        <f ca="1">VLOOKUP(R1,DB_TBL_DATA_FIELDS[[FIELD_ID]:[FIELD_VALUE_CLEAN]],10,FALSE)</f>
        <v/>
      </c>
      <c r="S2" s="165" t="str">
        <f ca="1">VLOOKUP(S1,DB_TBL_DATA_FIELDS[[FIELD_ID]:[FIELD_VALUE_CLEAN]],10,FALSE)</f>
        <v/>
      </c>
      <c r="T2" s="165" t="str">
        <f ca="1">VLOOKUP(T1,DB_TBL_DATA_FIELDS[[FIELD_ID]:[FIELD_VALUE_CLEAN]],10,FALSE)</f>
        <v/>
      </c>
      <c r="U2" s="165" t="str">
        <f ca="1">VLOOKUP(U1,DB_TBL_DATA_FIELDS[[FIELD_ID]:[FIELD_VALUE_CLEAN]],10,FALSE)</f>
        <v/>
      </c>
      <c r="V2" s="165" t="str">
        <f ca="1">VLOOKUP(V1,DB_TBL_DATA_FIELDS[[FIELD_ID]:[FIELD_VALUE_CLEAN]],10,FALSE)</f>
        <v/>
      </c>
      <c r="W2" s="165" t="str">
        <f ca="1">VLOOKUP(W1,DB_TBL_DATA_FIELDS[[FIELD_ID]:[FIELD_VALUE_CLEAN]],10,FALSE)</f>
        <v/>
      </c>
      <c r="X2" s="165" t="str">
        <f ca="1">VLOOKUP(X1,DB_TBL_DATA_FIELDS[[FIELD_ID]:[FIELD_VALUE_CLEAN]],10,FALSE)</f>
        <v/>
      </c>
      <c r="Y2" s="165" t="str">
        <f ca="1">VLOOKUP(Y1,DB_TBL_DATA_FIELDS[[FIELD_ID]:[FIELD_VALUE_CLEAN]],10,FALSE)</f>
        <v/>
      </c>
      <c r="Z2" s="165" t="str">
        <f ca="1">VLOOKUP(Z1,DB_TBL_DATA_FIELDS[[FIELD_ID]:[FIELD_VALUE_CLEAN]],10,FALSE)</f>
        <v/>
      </c>
      <c r="AA2" s="165" t="str">
        <f ca="1">VLOOKUP(AA1,DB_TBL_DATA_FIELDS[[FIELD_ID]:[FIELD_VALUE_CLEAN]],10,FALSE)</f>
        <v/>
      </c>
      <c r="AB2" s="165" t="str">
        <f ca="1">VLOOKUP(AB1,DB_TBL_DATA_FIELDS[[FIELD_ID]:[FIELD_VALUE_CLEAN]],10,FALSE)</f>
        <v/>
      </c>
      <c r="AC2" s="165" t="str">
        <f ca="1">VLOOKUP(AC1,DB_TBL_DATA_FIELDS[[FIELD_ID]:[FIELD_VALUE_CLEAN]],10,FALSE)</f>
        <v/>
      </c>
      <c r="AD2" s="165" t="str">
        <f ca="1">VLOOKUP(AD1,DB_TBL_DATA_FIELDS[[FIELD_ID]:[FIELD_VALUE_CLEAN]],10,FALSE)</f>
        <v/>
      </c>
      <c r="AE2" s="165" t="str">
        <f ca="1">VLOOKUP(AE1,DB_TBL_DATA_FIELDS[[FIELD_ID]:[FIELD_VALUE_CLEAN]],10,FALSE)</f>
        <v/>
      </c>
      <c r="AF2" s="165" t="str">
        <f ca="1">VLOOKUP(AF1,DB_TBL_DATA_FIELDS[[FIELD_ID]:[FIELD_VALUE_CLEAN]],10,FALSE)</f>
        <v/>
      </c>
      <c r="AG2" s="165" t="str">
        <f ca="1">VLOOKUP(AG1,DB_TBL_DATA_FIELDS[[FIELD_ID]:[FIELD_VALUE_CLEAN]],10,FALSE)</f>
        <v/>
      </c>
      <c r="AH2" s="165" t="str">
        <f ca="1">VLOOKUP(AH1,DB_TBL_DATA_FIELDS[[FIELD_ID]:[FIELD_VALUE_CLEAN]],10,FALSE)</f>
        <v/>
      </c>
      <c r="AI2" s="165" t="str">
        <f ca="1">VLOOKUP(AI1,DB_TBL_DATA_FIELDS[[FIELD_ID]:[FIELD_VALUE_CLEAN]],10,FALSE)</f>
        <v/>
      </c>
      <c r="AJ2" s="165" t="str">
        <f ca="1">VLOOKUP(AJ1,DB_TBL_DATA_FIELDS[[FIELD_ID]:[FIELD_VALUE_CLEAN]],10,FALSE)</f>
        <v/>
      </c>
      <c r="AK2" s="165" t="str">
        <f ca="1">VLOOKUP(AK1,DB_TBL_DATA_FIELDS[[FIELD_ID]:[FIELD_VALUE_CLEAN]],10,FALSE)</f>
        <v/>
      </c>
      <c r="AL2" s="165" t="str">
        <f ca="1">VLOOKUP(AL1,DB_TBL_DATA_FIELDS[[FIELD_ID]:[FIELD_VALUE_CLEAN]],10,FALSE)</f>
        <v/>
      </c>
      <c r="AM2" s="165" t="str">
        <f ca="1">VLOOKUP(AM1,DB_TBL_DATA_FIELDS[[FIELD_ID]:[FIELD_VALUE_CLEAN]],10,FALSE)</f>
        <v/>
      </c>
      <c r="AN2" s="165" t="str">
        <f ca="1">VLOOKUP(AN1,DB_TBL_DATA_FIELDS[[FIELD_ID]:[FIELD_VALUE_CLEAN]],10,FALSE)</f>
        <v/>
      </c>
      <c r="AO2" s="165" t="str">
        <f ca="1">VLOOKUP(AO1,DB_TBL_DATA_FIELDS[[FIELD_ID]:[FIELD_VALUE_CLEAN]],10,FALSE)</f>
        <v/>
      </c>
      <c r="AP2" s="165" t="str">
        <f ca="1">VLOOKUP(AP1,DB_TBL_DATA_FIELDS[[FIELD_ID]:[FIELD_VALUE_CLEAN]],10,FALSE)</f>
        <v/>
      </c>
      <c r="AQ2" s="165" t="str">
        <f ca="1">VLOOKUP(AQ1,DB_TBL_DATA_FIELDS[[FIELD_ID]:[FIELD_VALUE_CLEAN]],10,FALSE)</f>
        <v/>
      </c>
      <c r="AR2" s="165" t="str">
        <f ca="1">VLOOKUP(AR1,DB_TBL_DATA_FIELDS[[FIELD_ID]:[FIELD_VALUE_CLEAN]],10,FALSE)</f>
        <v/>
      </c>
    </row>
  </sheetData>
  <sheetProtection algorithmName="SHA-512" hashValue="aULAJy41qRgYmqwuwVqSZwyAj+YHwinCjZIbovTvxyAeAGGszIsMt8rq1+fZVE1Hf47rbj9Q4AaQrJgky4Rozg==" saltValue="yIkd5qKfd2IX+EpZxU2Sqg==" spinCount="100000" sheet="1" objects="1" scenarios="1"/>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sheetPr>
  <dimension ref="A1:Y2"/>
  <sheetViews>
    <sheetView workbookViewId="0">
      <selection activeCell="I2" sqref="I2:L2"/>
    </sheetView>
  </sheetViews>
  <sheetFormatPr defaultRowHeight="15" x14ac:dyDescent="0.25"/>
  <cols>
    <col min="1" max="1" width="20.7109375" customWidth="1"/>
    <col min="2" max="2" width="28.5703125" bestFit="1" customWidth="1"/>
    <col min="3" max="3" width="22.28515625" customWidth="1"/>
    <col min="4" max="4" width="25.5703125" customWidth="1"/>
    <col min="5" max="5" width="17.7109375" customWidth="1"/>
    <col min="6" max="6" width="32.85546875" customWidth="1"/>
    <col min="7" max="7" width="32.28515625" customWidth="1"/>
    <col min="8" max="8" width="27.140625" customWidth="1"/>
    <col min="9" max="9" width="27.85546875" customWidth="1"/>
    <col min="10" max="10" width="13.85546875" bestFit="1" customWidth="1"/>
    <col min="11" max="11" width="27.42578125" bestFit="1" customWidth="1"/>
    <col min="12" max="12" width="26.85546875" bestFit="1" customWidth="1"/>
    <col min="13" max="13" width="19.7109375" bestFit="1" customWidth="1"/>
    <col min="14" max="14" width="24.42578125" bestFit="1" customWidth="1"/>
    <col min="15" max="15" width="17.140625" bestFit="1" customWidth="1"/>
    <col min="16" max="16" width="30.42578125" bestFit="1" customWidth="1"/>
    <col min="17" max="17" width="16.42578125" bestFit="1" customWidth="1"/>
    <col min="18" max="18" width="22" bestFit="1" customWidth="1"/>
    <col min="19" max="19" width="22.7109375" bestFit="1" customWidth="1"/>
    <col min="20" max="20" width="20.140625" bestFit="1" customWidth="1"/>
    <col min="21" max="21" width="18.5703125" bestFit="1" customWidth="1"/>
    <col min="22" max="22" width="19.5703125" bestFit="1" customWidth="1"/>
    <col min="23" max="23" width="27.85546875" bestFit="1" customWidth="1"/>
    <col min="24" max="24" width="26.5703125" bestFit="1" customWidth="1"/>
    <col min="25" max="25" width="31.7109375" bestFit="1" customWidth="1"/>
  </cols>
  <sheetData>
    <row r="1" spans="1:25" x14ac:dyDescent="0.25">
      <c r="A1" s="160" t="s">
        <v>2218</v>
      </c>
      <c r="B1" s="161" t="s">
        <v>2219</v>
      </c>
      <c r="C1" s="161" t="s">
        <v>192</v>
      </c>
      <c r="D1" s="161" t="s">
        <v>2250</v>
      </c>
      <c r="E1" s="161" t="s">
        <v>2247</v>
      </c>
      <c r="F1" s="161" t="s">
        <v>2248</v>
      </c>
      <c r="G1" s="161" t="s">
        <v>2249</v>
      </c>
      <c r="H1" s="161" t="s">
        <v>2256</v>
      </c>
      <c r="I1" s="164" t="s">
        <v>2257</v>
      </c>
      <c r="J1" s="161" t="s">
        <v>2521</v>
      </c>
      <c r="K1" s="161" t="s">
        <v>2264</v>
      </c>
      <c r="L1" s="161" t="s">
        <v>2265</v>
      </c>
      <c r="M1" s="161" t="s">
        <v>2518</v>
      </c>
      <c r="N1" s="161" t="s">
        <v>2377</v>
      </c>
      <c r="O1" s="161" t="s">
        <v>2893</v>
      </c>
      <c r="P1" s="161" t="s">
        <v>2894</v>
      </c>
      <c r="Q1" s="161" t="s">
        <v>2319</v>
      </c>
      <c r="R1" s="161" t="s">
        <v>2320</v>
      </c>
      <c r="S1" s="161" t="s">
        <v>2321</v>
      </c>
      <c r="T1" s="161" t="s">
        <v>2322</v>
      </c>
      <c r="U1" s="161" t="s">
        <v>2345</v>
      </c>
      <c r="V1" s="161" t="s">
        <v>2346</v>
      </c>
      <c r="W1" s="161" t="s">
        <v>2905</v>
      </c>
      <c r="X1" s="161" t="s">
        <v>2907</v>
      </c>
      <c r="Y1" s="161" t="s">
        <v>2908</v>
      </c>
    </row>
    <row r="2" spans="1:25" x14ac:dyDescent="0.25">
      <c r="A2" s="162" t="str">
        <f ca="1">VLOOKUP(A1,DB_TBL_DATA_FIELDS[[FIELD_ID]:[FIELD_VALUE_CLEAN]],10,FALSE)</f>
        <v>RES</v>
      </c>
      <c r="B2" s="163" t="str">
        <f ca="1">VLOOKUP(B1,DB_TBL_DATA_FIELDS[[FIELD_ID]:[FIELD_VALUE_CLEAN]],10,FALSE)</f>
        <v>R00XXXXXX001000</v>
      </c>
      <c r="C2" s="163" t="str">
        <f>VLOOKUP(C1,DB_TBL_DATA_FIELDS[[FIELD_ID]:[FIELD_VALUE_CLEAN]],10,FALSE)</f>
        <v>5.0.0</v>
      </c>
      <c r="D2" s="163" t="str">
        <f ca="1">VLOOKUP(D1,DB_TBL_DATA_FIELDS[[FIELD_ID]:[FIELD_VALUE_CLEAN]],10,FALSE)</f>
        <v>N</v>
      </c>
      <c r="E2" s="163" t="str">
        <f ca="1">VLOOKUP(E1,DB_TBL_DATA_FIELDS[[FIELD_ID]:[FIELD_VALUE_CLEAN]],10,FALSE)</f>
        <v/>
      </c>
      <c r="F2" s="163" t="str">
        <f ca="1">VLOOKUP(F1,DB_TBL_DATA_FIELDS[[FIELD_ID]:[FIELD_VALUE_CLEAN]],10,FALSE)</f>
        <v/>
      </c>
      <c r="G2" s="163" t="str">
        <f ca="1">VLOOKUP(G1,DB_TBL_DATA_FIELDS[[FIELD_ID]:[FIELD_VALUE_CLEAN]],10,FALSE)</f>
        <v/>
      </c>
      <c r="H2" s="163" t="str">
        <f ca="1">VLOOKUP(H1,DB_TBL_DATA_FIELDS[[FIELD_ID]:[FIELD_VALUE_CLEAN]],10,FALSE)</f>
        <v/>
      </c>
      <c r="I2" s="165" t="str">
        <f ca="1">VLOOKUP(I1,DB_TBL_DATA_FIELDS[[FIELD_ID]:[FIELD_VALUE_CLEAN]],10,FALSE)</f>
        <v/>
      </c>
      <c r="J2" s="165" t="str">
        <f ca="1">VLOOKUP(J1,DB_TBL_DATA_FIELDS[[FIELD_ID]:[FIELD_VALUE_CLEAN]],10,FALSE)</f>
        <v/>
      </c>
      <c r="K2" s="165" t="str">
        <f ca="1">VLOOKUP(K1,DB_TBL_DATA_FIELDS[[FIELD_ID]:[FIELD_VALUE_CLEAN]],10,FALSE)</f>
        <v/>
      </c>
      <c r="L2" s="165" t="str">
        <f ca="1">VLOOKUP(L1,DB_TBL_DATA_FIELDS[[FIELD_ID]:[FIELD_VALUE_CLEAN]],10,FALSE)</f>
        <v/>
      </c>
      <c r="M2" s="165" t="str">
        <f ca="1">VLOOKUP(M1,DB_TBL_DATA_FIELDS[[FIELD_ID]:[FIELD_VALUE_CLEAN]],10,FALSE)</f>
        <v/>
      </c>
      <c r="N2" s="165" t="str">
        <f ca="1">VLOOKUP(N1,DB_TBL_DATA_FIELDS[[FIELD_ID]:[FIELD_VALUE_CLEAN]],10,FALSE)</f>
        <v/>
      </c>
      <c r="O2" s="165" t="str">
        <f ca="1">VLOOKUP(O1,DB_TBL_DATA_FIELDS[[FIELD_ID]:[FIELD_VALUE_CLEAN]],10,FALSE)</f>
        <v/>
      </c>
      <c r="P2" s="165" t="str">
        <f ca="1">VLOOKUP(P1,DB_TBL_DATA_FIELDS[[FIELD_ID]:[FIELD_VALUE_CLEAN]],10,FALSE)</f>
        <v/>
      </c>
      <c r="Q2" s="165" t="str">
        <f ca="1">VLOOKUP(Q1,DB_TBL_DATA_FIELDS[[FIELD_ID]:[FIELD_VALUE_CLEAN]],10,FALSE)</f>
        <v/>
      </c>
      <c r="R2" s="165" t="str">
        <f ca="1">VLOOKUP(R1,DB_TBL_DATA_FIELDS[[FIELD_ID]:[FIELD_VALUE_CLEAN]],10,FALSE)</f>
        <v/>
      </c>
      <c r="S2" s="165" t="str">
        <f ca="1">VLOOKUP(S1,DB_TBL_DATA_FIELDS[[FIELD_ID]:[FIELD_VALUE_CLEAN]],10,FALSE)</f>
        <v/>
      </c>
      <c r="T2" s="165" t="str">
        <f ca="1">VLOOKUP(T1,DB_TBL_DATA_FIELDS[[FIELD_ID]:[FIELD_VALUE_CLEAN]],10,FALSE)</f>
        <v/>
      </c>
      <c r="U2" s="165" t="str">
        <f ca="1">VLOOKUP(U1,DB_TBL_DATA_FIELDS[[FIELD_ID]:[FIELD_VALUE_CLEAN]],10,FALSE)</f>
        <v/>
      </c>
      <c r="V2" s="165" t="str">
        <f ca="1">VLOOKUP(V1,DB_TBL_DATA_FIELDS[[FIELD_ID]:[FIELD_VALUE_CLEAN]],10,FALSE)</f>
        <v/>
      </c>
      <c r="W2" s="165" t="str">
        <f ca="1">VLOOKUP(W1,DB_TBL_DATA_FIELDS[[FIELD_ID]:[FIELD_VALUE_CLEAN]],10,FALSE)</f>
        <v/>
      </c>
      <c r="X2" s="165" t="str">
        <f ca="1">VLOOKUP(X1,DB_TBL_DATA_FIELDS[[FIELD_ID]:[FIELD_VALUE_CLEAN]],10,FALSE)</f>
        <v/>
      </c>
      <c r="Y2" s="165" t="str">
        <f ca="1">VLOOKUP(Y1,DB_TBL_DATA_FIELDS[[FIELD_ID]:[FIELD_VALUE_CLEAN]],10,FALSE)</f>
        <v/>
      </c>
    </row>
  </sheetData>
  <sheetProtection algorithmName="SHA-512" hashValue="FVaR+uwt9z01uLQ1Kstp/sEW3CVH239K5lzNkI1uNXxOtnqlXD3m+bYSIg+Ut85pmWatv843JRGZYhm33hiL5A==" saltValue="mPvNvsJlIZ++nswMZMfjtw==" spinCount="100000"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Y155"/>
  <sheetViews>
    <sheetView showGridLines="0" showRowColHeaders="0" topLeftCell="H1" zoomScaleNormal="100" zoomScaleSheetLayoutView="100" workbookViewId="0">
      <pane ySplit="4" topLeftCell="A5" activePane="bottomLeft" state="frozen"/>
      <selection pane="bottomLeft" activeCell="H5" sqref="H5"/>
    </sheetView>
  </sheetViews>
  <sheetFormatPr defaultColWidth="0" defaultRowHeight="15" zeroHeight="1" x14ac:dyDescent="0.25"/>
  <cols>
    <col min="1" max="1" width="27.5703125" style="70" hidden="1" customWidth="1"/>
    <col min="2" max="7" width="15.7109375" style="70" hidden="1" customWidth="1"/>
    <col min="8" max="8" width="2.42578125" customWidth="1"/>
    <col min="9" max="9" width="10.7109375" customWidth="1"/>
    <col min="10" max="10" width="2.7109375" style="47" customWidth="1"/>
    <col min="11" max="11" width="10.7109375" customWidth="1"/>
    <col min="12" max="12" width="2.7109375" style="47" customWidth="1"/>
    <col min="13" max="13" width="10.7109375" customWidth="1"/>
    <col min="14" max="14" width="2.7109375" style="47" customWidth="1"/>
    <col min="15" max="15" width="10.7109375" customWidth="1"/>
    <col min="16" max="16" width="2.7109375" style="47" customWidth="1"/>
    <col min="17" max="17" width="10.7109375" customWidth="1"/>
    <col min="18" max="18" width="2.7109375" style="47" customWidth="1"/>
    <col min="19" max="19" width="10.7109375" customWidth="1"/>
    <col min="20" max="20" width="2.7109375" style="47" customWidth="1"/>
    <col min="21" max="21" width="10.7109375" customWidth="1"/>
    <col min="22" max="22" width="2.7109375" style="47" customWidth="1"/>
    <col min="23" max="23" width="10.7109375" customWidth="1"/>
    <col min="24" max="24" width="2.7109375" style="47" customWidth="1"/>
    <col min="25" max="25" width="2.42578125" customWidth="1"/>
    <col min="26" max="16384" width="9.140625" hidden="1"/>
  </cols>
  <sheetData>
    <row r="1" spans="1:25" ht="40.5" customHeight="1" thickBot="1" x14ac:dyDescent="0.3">
      <c r="A1" s="46" t="s">
        <v>182</v>
      </c>
      <c r="B1" s="46" t="s">
        <v>181</v>
      </c>
      <c r="C1" s="46" t="s">
        <v>178</v>
      </c>
      <c r="D1" s="46" t="s">
        <v>179</v>
      </c>
      <c r="E1" s="46" t="s">
        <v>176</v>
      </c>
      <c r="F1" s="46" t="s">
        <v>177</v>
      </c>
      <c r="G1" s="89" t="s">
        <v>180</v>
      </c>
      <c r="H1" s="87"/>
      <c r="I1" s="87"/>
      <c r="J1" s="88"/>
      <c r="K1" s="87"/>
      <c r="L1" s="88"/>
      <c r="M1" s="87"/>
      <c r="N1" s="88"/>
      <c r="O1" s="87"/>
      <c r="P1" s="88"/>
      <c r="Q1" s="87"/>
      <c r="R1" s="88"/>
      <c r="S1" s="87"/>
      <c r="T1" s="88"/>
      <c r="U1" s="87"/>
      <c r="V1" s="88"/>
      <c r="W1" s="87"/>
      <c r="X1" s="88"/>
      <c r="Y1" s="87"/>
    </row>
    <row r="2" spans="1:25" ht="3" customHeight="1" x14ac:dyDescent="0.25">
      <c r="A2" s="48"/>
      <c r="B2" s="48"/>
      <c r="C2" s="48"/>
      <c r="D2" s="48"/>
      <c r="E2" s="48"/>
      <c r="F2" s="48"/>
      <c r="G2" s="48"/>
      <c r="H2" s="49"/>
      <c r="I2" s="78"/>
      <c r="J2" s="78"/>
      <c r="K2" s="78"/>
      <c r="L2" s="78"/>
      <c r="M2" s="78"/>
      <c r="N2" s="78"/>
      <c r="O2" s="78"/>
      <c r="P2" s="79"/>
      <c r="Q2" s="79"/>
      <c r="R2" s="50"/>
      <c r="S2" s="51"/>
      <c r="T2" s="50"/>
      <c r="U2" s="50"/>
      <c r="V2" s="50"/>
      <c r="W2" s="50"/>
      <c r="X2" s="50"/>
      <c r="Y2" s="50"/>
    </row>
    <row r="3" spans="1:25" ht="15" customHeight="1" x14ac:dyDescent="0.25">
      <c r="A3" s="48"/>
      <c r="B3" s="48"/>
      <c r="C3" s="48"/>
      <c r="D3" s="48"/>
      <c r="E3" s="48"/>
      <c r="F3" s="48"/>
      <c r="G3" s="48"/>
      <c r="H3" s="52"/>
      <c r="I3" s="78" t="str">
        <f ca="1">(LEFT($B$8,40)&amp;IF(LEN($B$8)&gt;40,"…",""))</f>
        <v>Primary Borrower Not Yet Specified</v>
      </c>
      <c r="J3" s="78"/>
      <c r="K3" s="78"/>
      <c r="L3" s="78"/>
      <c r="M3" s="78"/>
      <c r="N3" s="78"/>
      <c r="O3" s="78"/>
      <c r="P3" s="79"/>
      <c r="Q3" s="79"/>
      <c r="R3" s="79" t="s">
        <v>2155</v>
      </c>
      <c r="S3" s="144">
        <f ca="1">IF('$DB.DATA'!G11="RES",VLOOKUP("APP_PROGRESS_PCT_COMPLETE",DB_TBL_DATA_FIELDS[[FIELD_ID]:[FIELD_VALUE_CLEAN]],10,FALSE),"N/A")</f>
        <v>0</v>
      </c>
      <c r="T3" s="128" t="str">
        <f ca="1">IF(DATA_APP_PROGRESS_ERROR_COUNT&gt;0,0,IF(DATA_EFORM_COMPLETE_FLAG,2,""))</f>
        <v/>
      </c>
      <c r="U3" s="52"/>
      <c r="V3" s="53"/>
      <c r="W3" s="52"/>
      <c r="X3" s="53"/>
      <c r="Y3" s="52"/>
    </row>
    <row r="4" spans="1:25" ht="3" customHeight="1" x14ac:dyDescent="0.25">
      <c r="A4" s="48"/>
      <c r="B4" s="48"/>
      <c r="C4" s="48"/>
      <c r="D4" s="48"/>
      <c r="E4" s="48"/>
      <c r="F4" s="48"/>
      <c r="G4" s="48"/>
      <c r="H4" s="37"/>
      <c r="I4" s="90"/>
      <c r="J4" s="90"/>
      <c r="K4" s="90"/>
      <c r="L4" s="90"/>
      <c r="M4" s="90"/>
      <c r="N4" s="90"/>
      <c r="O4" s="90"/>
      <c r="P4" s="91"/>
      <c r="Q4" s="91"/>
      <c r="R4" s="92"/>
      <c r="S4" s="37"/>
      <c r="T4" s="92"/>
      <c r="U4" s="37"/>
      <c r="V4" s="92"/>
      <c r="W4" s="37"/>
      <c r="X4" s="92"/>
      <c r="Y4" s="37"/>
    </row>
    <row r="5" spans="1:25" ht="3.95" customHeight="1" x14ac:dyDescent="0.25">
      <c r="A5" s="48"/>
      <c r="B5" s="48"/>
      <c r="C5" s="48"/>
      <c r="D5" s="48"/>
      <c r="E5" s="48"/>
      <c r="F5" s="48"/>
      <c r="G5" s="48"/>
      <c r="H5" s="42"/>
      <c r="I5" s="82"/>
      <c r="J5" s="82"/>
      <c r="K5" s="82"/>
      <c r="L5" s="82"/>
      <c r="M5" s="82"/>
      <c r="N5" s="82"/>
      <c r="O5" s="82"/>
      <c r="P5" s="83"/>
      <c r="Q5" s="83"/>
    </row>
    <row r="6" spans="1:25" ht="18" customHeight="1" x14ac:dyDescent="0.25">
      <c r="A6" s="54" t="s">
        <v>32</v>
      </c>
      <c r="B6" s="100" t="str">
        <f>CONFIG_SA_PROGRAM_NAME&amp;CONFIG_TRADEMARK_ID&amp;" "&amp;"Request Form - "&amp;CONFIG_ENROLL_PERD_DESC</f>
        <v>Homebuyer Dream Program® Request Form - 2023 Round</v>
      </c>
      <c r="C6" s="54"/>
      <c r="D6" s="54"/>
      <c r="E6" s="54"/>
      <c r="F6" s="54"/>
      <c r="G6" s="54"/>
      <c r="H6" s="62" t="str">
        <f ca="1">B11</f>
        <v/>
      </c>
      <c r="I6" s="304" t="str">
        <f ca="1">B12</f>
        <v/>
      </c>
      <c r="J6" s="304"/>
      <c r="K6" s="304"/>
      <c r="L6" s="304"/>
      <c r="M6" s="304"/>
      <c r="N6" s="304"/>
      <c r="O6" s="304"/>
      <c r="P6" s="304"/>
      <c r="Q6" s="304"/>
      <c r="R6" s="304"/>
      <c r="S6" s="304"/>
      <c r="T6" s="304"/>
      <c r="U6" s="304"/>
      <c r="V6" s="304"/>
      <c r="W6" s="304"/>
      <c r="X6" s="304"/>
      <c r="Y6" s="304"/>
    </row>
    <row r="7" spans="1:25" ht="3.95" customHeight="1" x14ac:dyDescent="0.25">
      <c r="A7" s="54" t="s">
        <v>2229</v>
      </c>
      <c r="B7" s="100" t="str">
        <f>VLOOKUP(A7,DB_TBL_CONFIG_APP[#All],4,FALSE)</f>
        <v>New Household Reservation Request</v>
      </c>
      <c r="C7" s="54"/>
      <c r="D7" s="54"/>
      <c r="E7" s="54"/>
      <c r="F7" s="54"/>
      <c r="G7" s="54"/>
      <c r="H7" s="62"/>
      <c r="I7" s="62"/>
      <c r="J7" s="62"/>
      <c r="K7" s="62"/>
      <c r="L7" s="62"/>
      <c r="M7" s="62"/>
      <c r="N7" s="62"/>
      <c r="O7" s="62"/>
      <c r="P7" s="62"/>
      <c r="Q7" s="62"/>
      <c r="R7" s="62"/>
      <c r="S7" s="62"/>
      <c r="T7" s="62"/>
      <c r="U7" s="62"/>
      <c r="V7" s="62"/>
      <c r="W7" s="62"/>
      <c r="X7" s="62"/>
      <c r="Y7" s="62"/>
    </row>
    <row r="8" spans="1:25" s="39" customFormat="1" ht="21.95" customHeight="1" thickBot="1" x14ac:dyDescent="0.25">
      <c r="A8" s="54" t="s">
        <v>2380</v>
      </c>
      <c r="B8" s="100" t="str">
        <f ca="1">IF(DATA_PRIM_BORW_FULL_NAME="","Primary Borrower Not Yet Specified",DATA_PRIM_BORW_FULL_NAME)</f>
        <v>Primary Borrower Not Yet Specified</v>
      </c>
      <c r="C8" s="57"/>
      <c r="D8" s="57"/>
      <c r="E8" s="54"/>
      <c r="F8" s="54"/>
      <c r="G8" s="54"/>
      <c r="H8" s="62"/>
      <c r="I8" s="125" t="s">
        <v>2383</v>
      </c>
      <c r="J8" s="126"/>
      <c r="K8" s="126"/>
      <c r="L8" s="126"/>
      <c r="M8" s="126"/>
      <c r="N8" s="126"/>
      <c r="O8" s="126"/>
      <c r="P8" s="126"/>
      <c r="Q8" s="126"/>
      <c r="R8" s="126"/>
      <c r="S8" s="126"/>
      <c r="T8" s="126"/>
      <c r="U8" s="126"/>
      <c r="V8" s="126"/>
      <c r="W8" s="126"/>
      <c r="X8" s="126"/>
      <c r="Y8" s="62"/>
    </row>
    <row r="9" spans="1:25" s="39" customFormat="1" ht="99.75" customHeight="1" x14ac:dyDescent="0.25">
      <c r="A9" s="57" t="s">
        <v>2169</v>
      </c>
      <c r="B9" s="68">
        <f ca="1">SUM(B28,B62,B77,B101,B124)</f>
        <v>0</v>
      </c>
      <c r="C9" s="57"/>
      <c r="D9" s="57"/>
      <c r="E9" s="57"/>
      <c r="F9" s="57"/>
      <c r="G9" s="57"/>
      <c r="H9" s="62"/>
      <c r="I9" s="310" t="s">
        <v>2935</v>
      </c>
      <c r="J9" s="310"/>
      <c r="K9" s="310"/>
      <c r="L9" s="310"/>
      <c r="M9" s="310"/>
      <c r="N9" s="310"/>
      <c r="O9" s="310"/>
      <c r="P9" s="310"/>
      <c r="Q9" s="310"/>
      <c r="R9" s="310"/>
      <c r="S9" s="310"/>
      <c r="T9" s="310"/>
      <c r="U9" s="310"/>
      <c r="V9" s="310"/>
      <c r="W9" s="310"/>
      <c r="X9" s="310"/>
      <c r="Y9" s="62"/>
    </row>
    <row r="10" spans="1:25" s="39" customFormat="1" ht="9.9499999999999993" customHeight="1" x14ac:dyDescent="0.25">
      <c r="A10" s="57" t="s">
        <v>2170</v>
      </c>
      <c r="B10" s="68" t="b">
        <f ca="1">B9&gt;0</f>
        <v>0</v>
      </c>
      <c r="C10" s="57"/>
      <c r="D10" s="57"/>
      <c r="E10" s="57"/>
      <c r="F10" s="57"/>
      <c r="G10" s="57"/>
      <c r="H10" s="62"/>
      <c r="I10" s="62"/>
      <c r="J10" s="62"/>
      <c r="K10" s="62"/>
      <c r="L10" s="62"/>
      <c r="M10" s="62"/>
      <c r="N10" s="62"/>
      <c r="O10" s="62"/>
      <c r="P10" s="62"/>
      <c r="Q10" s="62"/>
      <c r="R10" s="62"/>
      <c r="S10" s="62"/>
      <c r="T10" s="62"/>
      <c r="U10" s="62"/>
      <c r="V10" s="62"/>
      <c r="W10" s="62"/>
      <c r="X10" s="62"/>
      <c r="Y10" s="62"/>
    </row>
    <row r="11" spans="1:25" s="39" customFormat="1" ht="21.95" customHeight="1" thickBot="1" x14ac:dyDescent="0.3">
      <c r="A11" s="57" t="s">
        <v>2171</v>
      </c>
      <c r="B11" s="68" t="str">
        <f ca="1">IF(B10,1,"")</f>
        <v/>
      </c>
      <c r="C11" s="57"/>
      <c r="D11" s="57"/>
      <c r="E11" s="57"/>
      <c r="F11" s="57"/>
      <c r="G11" s="57"/>
      <c r="H11" s="62"/>
      <c r="I11" s="125" t="s">
        <v>2930</v>
      </c>
      <c r="J11" s="126"/>
      <c r="K11" s="126"/>
      <c r="L11" s="126"/>
      <c r="M11" s="126"/>
      <c r="N11" s="126"/>
      <c r="O11" s="126"/>
      <c r="P11" s="126"/>
      <c r="Q11" s="126"/>
      <c r="R11" s="126"/>
      <c r="S11" s="126"/>
      <c r="T11" s="126"/>
      <c r="U11" s="126"/>
      <c r="V11" s="126"/>
      <c r="W11" s="126"/>
      <c r="X11" s="126"/>
      <c r="Y11" s="62"/>
    </row>
    <row r="12" spans="1:25" s="39" customFormat="1" ht="6.75" customHeight="1" x14ac:dyDescent="0.2">
      <c r="A12" s="57" t="s">
        <v>2172</v>
      </c>
      <c r="B12" s="100" t="str">
        <f ca="1">IF(B10,B9&amp;" "&amp;'$DB.CONFIG'!$M$4,"")</f>
        <v/>
      </c>
      <c r="C12" s="57"/>
      <c r="D12" s="57"/>
      <c r="E12" s="57"/>
      <c r="F12" s="57"/>
      <c r="G12" s="57"/>
      <c r="H12" s="62"/>
      <c r="I12" s="63"/>
      <c r="J12" s="62"/>
      <c r="K12" s="62"/>
      <c r="L12" s="62"/>
      <c r="M12" s="62"/>
      <c r="N12" s="62"/>
      <c r="O12" s="62"/>
      <c r="P12" s="62"/>
      <c r="Q12" s="62"/>
      <c r="R12" s="62"/>
      <c r="S12" s="62"/>
      <c r="T12" s="62"/>
      <c r="U12" s="62"/>
      <c r="V12" s="62"/>
      <c r="W12" s="62"/>
      <c r="X12" s="62"/>
      <c r="Y12" s="62"/>
    </row>
    <row r="13" spans="1:25" s="39" customFormat="1" ht="21.95" customHeight="1" x14ac:dyDescent="0.25">
      <c r="A13" s="57"/>
      <c r="B13" s="57"/>
      <c r="C13" s="57"/>
      <c r="D13" s="57"/>
      <c r="E13" s="57"/>
      <c r="F13" s="57"/>
      <c r="G13" s="57"/>
      <c r="H13"/>
      <c r="I13" s="56" t="s">
        <v>25</v>
      </c>
      <c r="J13" s="81">
        <f>1</f>
        <v>1</v>
      </c>
      <c r="K13" s="77"/>
      <c r="L13" s="77"/>
      <c r="M13" s="56" t="s">
        <v>2203</v>
      </c>
      <c r="N13" s="81">
        <f>2</f>
        <v>2</v>
      </c>
      <c r="Q13" s="56" t="s">
        <v>2204</v>
      </c>
      <c r="R13" s="81">
        <f>0</f>
        <v>0</v>
      </c>
      <c r="U13" s="307" t="s">
        <v>2205</v>
      </c>
      <c r="V13" s="308"/>
      <c r="W13" s="308"/>
      <c r="X13" s="309"/>
      <c r="Y13"/>
    </row>
    <row r="14" spans="1:25" s="39" customFormat="1" ht="21.95" customHeight="1" x14ac:dyDescent="0.25">
      <c r="A14" s="57"/>
      <c r="B14" s="57"/>
      <c r="C14" s="57"/>
      <c r="D14" s="57"/>
      <c r="E14" s="57"/>
      <c r="F14" s="57"/>
      <c r="G14" s="57"/>
      <c r="H14"/>
      <c r="I14"/>
      <c r="J14" s="47"/>
      <c r="K14"/>
      <c r="L14" s="47"/>
      <c r="M14"/>
      <c r="N14" s="47"/>
      <c r="O14"/>
      <c r="P14" s="47"/>
      <c r="Q14"/>
      <c r="R14" s="47"/>
      <c r="S14"/>
      <c r="T14" s="47"/>
      <c r="U14"/>
      <c r="V14" s="47"/>
      <c r="W14"/>
      <c r="X14" s="47"/>
      <c r="Y14"/>
    </row>
    <row r="15" spans="1:25" s="39" customFormat="1" ht="21.95" customHeight="1" thickBot="1" x14ac:dyDescent="0.3">
      <c r="A15" s="57"/>
      <c r="B15" s="57"/>
      <c r="C15" s="57"/>
      <c r="D15" s="57"/>
      <c r="E15" s="57"/>
      <c r="F15" s="57"/>
      <c r="G15" s="57"/>
      <c r="I15" s="58" t="s">
        <v>189</v>
      </c>
      <c r="J15" s="58"/>
      <c r="K15" s="58"/>
      <c r="L15" s="58"/>
      <c r="M15" s="58"/>
      <c r="N15" s="58"/>
      <c r="O15" s="58"/>
      <c r="P15" s="58"/>
      <c r="Q15" s="58"/>
      <c r="R15" s="58"/>
      <c r="S15" s="58"/>
      <c r="T15" s="58"/>
      <c r="U15" s="58"/>
      <c r="V15" s="58"/>
      <c r="W15" s="58"/>
      <c r="X15" s="59"/>
    </row>
    <row r="16" spans="1:25" s="39" customFormat="1" ht="21.95" customHeight="1" x14ac:dyDescent="0.25">
      <c r="A16" s="57"/>
      <c r="B16" s="57"/>
      <c r="C16" s="57"/>
      <c r="D16" s="57"/>
      <c r="E16" s="57"/>
      <c r="F16" s="57"/>
      <c r="G16" s="57"/>
      <c r="H16" s="60"/>
      <c r="I16" s="40"/>
      <c r="J16" s="40"/>
      <c r="K16" s="40"/>
      <c r="L16" s="40"/>
      <c r="M16" s="40"/>
      <c r="N16" s="40"/>
      <c r="O16" s="61"/>
      <c r="P16" s="61"/>
      <c r="Q16" s="40"/>
      <c r="R16" s="40"/>
      <c r="S16" s="40"/>
      <c r="T16" s="40"/>
      <c r="U16" s="40"/>
      <c r="V16" s="40"/>
      <c r="W16" s="40"/>
      <c r="X16" s="40"/>
    </row>
    <row r="17" spans="1:25" s="39" customFormat="1" ht="21.95" customHeight="1" x14ac:dyDescent="0.25">
      <c r="A17" s="57"/>
      <c r="B17" s="57"/>
      <c r="C17" s="57"/>
      <c r="D17" s="57"/>
      <c r="E17" s="57"/>
      <c r="F17" s="57"/>
      <c r="G17" s="57"/>
      <c r="I17" s="305" t="str">
        <f>"1     "&amp;VLOOKUP("SECTION_1_TOC_LABEL",A:B,2,FALSE)</f>
        <v>1     FHLBNY Member</v>
      </c>
      <c r="J17" s="305"/>
      <c r="K17" s="305"/>
      <c r="L17" s="305"/>
      <c r="M17" s="305"/>
      <c r="N17" s="62" t="str">
        <f>IF($B$29,1,"")</f>
        <v/>
      </c>
      <c r="O17" s="76" t="str">
        <f ca="1">$B$25</f>
        <v>Not Started</v>
      </c>
      <c r="P17" s="62" t="str">
        <f ca="1">B26</f>
        <v/>
      </c>
      <c r="Q17" s="306" t="str">
        <f>"4     "&amp;VLOOKUP("SECTION_4_TOC_LABEL",A:B,2,FALSE)</f>
        <v>4     Purchase Property</v>
      </c>
      <c r="R17" s="306"/>
      <c r="S17" s="306"/>
      <c r="T17" s="306"/>
      <c r="U17" s="306"/>
      <c r="V17" s="62" t="str">
        <f ca="1">IF($B$102,1,"")</f>
        <v/>
      </c>
      <c r="W17" s="76" t="str">
        <f ca="1">$B$97</f>
        <v>Not Started</v>
      </c>
      <c r="X17" s="62" t="str">
        <f ca="1">$B98</f>
        <v/>
      </c>
    </row>
    <row r="18" spans="1:25" s="39" customFormat="1" ht="21.95" customHeight="1" x14ac:dyDescent="0.25">
      <c r="A18" s="97" t="s">
        <v>121</v>
      </c>
      <c r="B18" s="99" t="s">
        <v>2877</v>
      </c>
      <c r="C18" s="98"/>
      <c r="D18" s="98"/>
      <c r="E18" s="98"/>
      <c r="F18" s="98"/>
      <c r="G18" s="98"/>
      <c r="I18" s="305" t="str">
        <f>"2     "&amp;VLOOKUP("SECTION_2_TOC_LABEL",A:B,2,FALSE)</f>
        <v>2     Household Information</v>
      </c>
      <c r="J18" s="305"/>
      <c r="K18" s="305"/>
      <c r="L18" s="305"/>
      <c r="M18" s="305"/>
      <c r="N18" s="62" t="str">
        <f ca="1">IF($B$63,1,"")</f>
        <v/>
      </c>
      <c r="O18" s="76" t="str">
        <f ca="1">$B$58</f>
        <v>Not Started</v>
      </c>
      <c r="P18" s="62" t="str">
        <f ca="1">B59</f>
        <v/>
      </c>
      <c r="Q18" s="306" t="str">
        <f>"5    "&amp;VLOOKUP("SECTION_5_TOC_LABEL",A:B,2,FALSE)</f>
        <v>5    Household Qualification</v>
      </c>
      <c r="R18" s="306"/>
      <c r="S18" s="306"/>
      <c r="T18" s="306"/>
      <c r="U18" s="306"/>
      <c r="V18" s="62" t="str">
        <f ca="1">IF($B$125,1,"")</f>
        <v/>
      </c>
      <c r="W18" s="76" t="str">
        <f ca="1">$B$120</f>
        <v>Not Started</v>
      </c>
      <c r="X18" s="62" t="str">
        <f ca="1">$B121</f>
        <v/>
      </c>
    </row>
    <row r="19" spans="1:25" s="39" customFormat="1" ht="21.95" customHeight="1" x14ac:dyDescent="0.25">
      <c r="A19" s="64" t="s">
        <v>2247</v>
      </c>
      <c r="B19" s="101" t="str">
        <f>IF(I24="","",I24)</f>
        <v/>
      </c>
      <c r="C19" s="57">
        <f ca="1">VLOOKUP(A19,DB_TBL_DATA_FIELDS[[FIELD_ID]:[PCT_CALC_FIELD_STATUS_CODE]],22,FALSE)</f>
        <v>1</v>
      </c>
      <c r="D19" s="57" t="str">
        <f>IF(VLOOKUP(A19,DB_TBL_DATA_FIELDS[[FIELD_ID]:[ERROR_MESSAGE]],23,FALSE)&lt;&gt;0,VLOOKUP(A19,DB_TBL_DATA_FIELDS[[FIELD_ID]:[ERROR_MESSAGE]],23,FALSE),"")</f>
        <v/>
      </c>
      <c r="E19" s="57">
        <f>VLOOKUP(A19,DB_TBL_DATA_FIELDS[[#All],[FIELD_ID]:[RANGE_VALIDATION_MAX]],18,FALSE)</f>
        <v>0</v>
      </c>
      <c r="F19" s="57">
        <f>VLOOKUP(A19,DB_TBL_DATA_FIELDS[[#All],[FIELD_ID]:[RANGE_VALIDATION_MAX]],19,FALSE)</f>
        <v>100</v>
      </c>
      <c r="G19" s="57">
        <f ca="1">IF(C19&lt;0,"",C19)</f>
        <v>1</v>
      </c>
      <c r="I19" s="305" t="str">
        <f>"3     "&amp;VLOOKUP("SECTION_3_TOC_LABEL",A:B,2,FALSE)</f>
        <v>3     Grant Summary</v>
      </c>
      <c r="J19" s="305"/>
      <c r="K19" s="305"/>
      <c r="L19" s="305"/>
      <c r="M19" s="305"/>
      <c r="N19" s="62" t="str">
        <f>IF($B$78,1,"")</f>
        <v/>
      </c>
      <c r="O19" s="76" t="str">
        <f ca="1">$B$74</f>
        <v>Not Started</v>
      </c>
      <c r="P19" s="62" t="str">
        <f ca="1">B75</f>
        <v/>
      </c>
      <c r="Q19" s="306" t="str">
        <f>"6    "&amp;VLOOKUP("SECTION_6_TOC_LABEL",A:B,2,FALSE)</f>
        <v>6    Member Certification</v>
      </c>
      <c r="R19" s="306"/>
      <c r="S19" s="306"/>
      <c r="T19" s="306"/>
      <c r="U19" s="306"/>
      <c r="V19" s="62" t="str">
        <f>IF($B$141,1,"")</f>
        <v/>
      </c>
      <c r="W19" s="76" t="str">
        <f ca="1">$B$137</f>
        <v>Not Started</v>
      </c>
      <c r="X19" s="62" t="str">
        <f ca="1">$B138</f>
        <v/>
      </c>
    </row>
    <row r="20" spans="1:25" s="39" customFormat="1" ht="21.95" customHeight="1" x14ac:dyDescent="0.25">
      <c r="A20" s="64" t="s">
        <v>120</v>
      </c>
      <c r="B20" s="68" t="str">
        <f>"C"&amp;MATCH(LEFT(A20,LEN(A20)-LEN("_RANGE")),A:A,0)+1&amp;":C"&amp;(ROW()-1)</f>
        <v>C19:C19</v>
      </c>
      <c r="C20" s="57"/>
      <c r="D20" s="57"/>
      <c r="E20" s="57"/>
      <c r="F20" s="57"/>
      <c r="G20" s="57"/>
      <c r="J20" s="47"/>
      <c r="L20" s="47"/>
      <c r="N20" s="47"/>
      <c r="P20" s="47"/>
      <c r="R20" s="47"/>
      <c r="T20" s="47"/>
      <c r="V20" s="47"/>
      <c r="X20" s="47"/>
    </row>
    <row r="21" spans="1:25" s="39" customFormat="1" ht="21.95" customHeight="1" thickBot="1" x14ac:dyDescent="0.3">
      <c r="A21" s="64" t="s">
        <v>114</v>
      </c>
      <c r="B21" s="68">
        <f ca="1">COUNTIF(INDIRECT($B20),2)</f>
        <v>0</v>
      </c>
      <c r="C21" s="57"/>
      <c r="D21" s="57"/>
      <c r="E21" s="57"/>
      <c r="F21" s="57"/>
      <c r="G21" s="57"/>
      <c r="H21" s="40"/>
      <c r="I21" s="58" t="str">
        <f>B18</f>
        <v>Federal Home Loan Bank of New York Member</v>
      </c>
      <c r="J21" s="58"/>
      <c r="K21" s="58"/>
      <c r="L21" s="58"/>
      <c r="M21" s="58"/>
      <c r="N21" s="58"/>
      <c r="O21" s="58"/>
      <c r="P21" s="58"/>
      <c r="Q21" s="58"/>
      <c r="R21" s="58"/>
      <c r="S21" s="58"/>
      <c r="T21" s="58"/>
      <c r="U21" s="58"/>
      <c r="V21" s="58"/>
      <c r="W21" s="58"/>
      <c r="X21" s="59" t="str">
        <f ca="1">"Status: "&amp;$B$25</f>
        <v>Status: Not Started</v>
      </c>
      <c r="Y21" s="40"/>
    </row>
    <row r="22" spans="1:25" s="39" customFormat="1" ht="21.95" customHeight="1" x14ac:dyDescent="0.25">
      <c r="A22" s="64" t="s">
        <v>115</v>
      </c>
      <c r="B22" s="68">
        <f ca="1">COUNTIF(INDIRECT($B20),0)+COUNTIF(INDIRECT($B20),1)+COUNTIF(INDIRECT($B20),2)</f>
        <v>1</v>
      </c>
      <c r="C22" s="57"/>
      <c r="D22" s="57"/>
      <c r="E22" s="57"/>
      <c r="F22" s="57"/>
      <c r="G22" s="57"/>
      <c r="H22" s="40"/>
      <c r="I22" s="40"/>
      <c r="J22" s="40"/>
      <c r="K22" s="40"/>
      <c r="L22" s="40"/>
      <c r="M22" s="40"/>
      <c r="N22" s="40"/>
      <c r="O22" s="40"/>
      <c r="P22" s="40"/>
      <c r="Q22" s="40"/>
      <c r="R22" s="40"/>
      <c r="S22" s="40"/>
      <c r="T22" s="40"/>
      <c r="U22" s="40"/>
      <c r="V22" s="40"/>
      <c r="W22" s="40"/>
      <c r="X22" s="40"/>
      <c r="Y22" s="40"/>
    </row>
    <row r="23" spans="1:25" s="39" customFormat="1" ht="21.95" customHeight="1" x14ac:dyDescent="0.25">
      <c r="A23" s="64" t="s">
        <v>116</v>
      </c>
      <c r="B23" s="68">
        <f ca="1">COUNTIF(INDIRECT($B20),0)</f>
        <v>0</v>
      </c>
      <c r="C23" s="57"/>
      <c r="D23" s="57"/>
      <c r="E23" s="57"/>
      <c r="F23" s="57"/>
      <c r="G23" s="57"/>
      <c r="I23" s="39" t="s">
        <v>132</v>
      </c>
      <c r="J23" s="47"/>
      <c r="L23" s="47"/>
      <c r="N23" s="47"/>
      <c r="P23" s="47"/>
      <c r="R23" s="47"/>
      <c r="T23" s="47"/>
    </row>
    <row r="24" spans="1:25" s="39" customFormat="1" ht="21.95" customHeight="1" x14ac:dyDescent="0.25">
      <c r="A24" s="64" t="s">
        <v>117</v>
      </c>
      <c r="B24" s="103">
        <f ca="1">IFERROR(B21/B22,1.01)</f>
        <v>0</v>
      </c>
      <c r="C24" s="57"/>
      <c r="D24" s="57"/>
      <c r="E24" s="57"/>
      <c r="F24" s="57"/>
      <c r="G24" s="57"/>
      <c r="I24" s="283"/>
      <c r="J24" s="284"/>
      <c r="K24" s="284"/>
      <c r="L24" s="284"/>
      <c r="M24" s="284"/>
      <c r="N24" s="284"/>
      <c r="O24" s="284"/>
      <c r="P24" s="284"/>
      <c r="Q24" s="284"/>
      <c r="R24" s="284"/>
      <c r="S24" s="284"/>
      <c r="T24" s="284"/>
      <c r="U24" s="284"/>
      <c r="V24" s="284"/>
      <c r="W24" s="285"/>
      <c r="X24" s="55">
        <f ca="1">$G19</f>
        <v>1</v>
      </c>
    </row>
    <row r="25" spans="1:25" s="39" customFormat="1" ht="21.95" customHeight="1" x14ac:dyDescent="0.25">
      <c r="A25" s="64" t="s">
        <v>118</v>
      </c>
      <c r="B25" s="68" t="str">
        <f ca="1">IF(B23&gt;0,"Data Error(s)",IF(B24=0,"Not Started",IF(B24&lt;1,ROUNDUP(B24*100,0)&amp;"% Done",IF(B24&gt;1,"Optional","Complete"))))</f>
        <v>Not Started</v>
      </c>
      <c r="C25" s="57"/>
      <c r="D25" s="57"/>
      <c r="E25" s="57"/>
      <c r="F25" s="57"/>
      <c r="G25" s="57"/>
      <c r="I25" s="166"/>
      <c r="J25" s="166"/>
      <c r="K25" s="166"/>
      <c r="L25" s="166"/>
      <c r="M25" s="166"/>
      <c r="N25" s="166"/>
      <c r="O25" s="166"/>
      <c r="P25" s="166"/>
      <c r="Q25" s="166"/>
      <c r="R25" s="166"/>
      <c r="S25" s="166"/>
      <c r="T25" s="166"/>
      <c r="U25" s="166"/>
      <c r="V25" s="166"/>
      <c r="W25" s="166"/>
      <c r="X25" s="55"/>
    </row>
    <row r="26" spans="1:25" s="39" customFormat="1" ht="21.95" customHeight="1" thickBot="1" x14ac:dyDescent="0.3">
      <c r="A26" s="64" t="s">
        <v>119</v>
      </c>
      <c r="B26" s="68" t="str">
        <f ca="1">IF(B23&gt;0,0,IF(B24&lt;1,"",2))</f>
        <v/>
      </c>
      <c r="C26" s="57"/>
      <c r="D26" s="57"/>
      <c r="E26" s="57"/>
      <c r="F26" s="57"/>
      <c r="G26" s="57"/>
      <c r="I26" s="58" t="str">
        <f>B30</f>
        <v>Household Information</v>
      </c>
      <c r="J26" s="58"/>
      <c r="K26" s="58"/>
      <c r="L26" s="58"/>
      <c r="M26" s="58"/>
      <c r="N26" s="58"/>
      <c r="O26" s="58"/>
      <c r="P26" s="58"/>
      <c r="Q26" s="58"/>
      <c r="R26" s="58"/>
      <c r="S26" s="58"/>
      <c r="T26" s="58"/>
      <c r="U26" s="58"/>
      <c r="V26" s="58"/>
      <c r="W26" s="58"/>
      <c r="X26" s="59" t="str">
        <f ca="1">"Status: "&amp;$B$58</f>
        <v>Status: Not Started</v>
      </c>
    </row>
    <row r="27" spans="1:25" s="39" customFormat="1" ht="21.95" customHeight="1" x14ac:dyDescent="0.25">
      <c r="A27" s="64" t="s">
        <v>122</v>
      </c>
      <c r="B27" s="102" t="s">
        <v>2878</v>
      </c>
      <c r="C27" s="57"/>
      <c r="D27" s="57"/>
      <c r="E27" s="57"/>
      <c r="F27" s="57"/>
      <c r="G27" s="57"/>
      <c r="J27" s="47"/>
      <c r="L27" s="47"/>
      <c r="N27" s="47"/>
      <c r="P27" s="47"/>
      <c r="R27" s="47"/>
      <c r="T27" s="47"/>
      <c r="V27" s="47"/>
      <c r="X27" s="47"/>
    </row>
    <row r="28" spans="1:25" s="39" customFormat="1" ht="21.95" customHeight="1" x14ac:dyDescent="0.25">
      <c r="A28" s="80" t="s">
        <v>2159</v>
      </c>
      <c r="B28" s="68">
        <v>0</v>
      </c>
      <c r="C28" s="57"/>
      <c r="D28" s="57"/>
      <c r="E28" s="57"/>
      <c r="F28" s="57"/>
      <c r="G28" s="57"/>
      <c r="J28" s="47"/>
      <c r="L28" s="47"/>
      <c r="N28" s="47"/>
      <c r="P28" s="47"/>
      <c r="R28" s="47"/>
      <c r="T28" s="47"/>
      <c r="V28" s="47"/>
      <c r="W28" s="230" t="str">
        <f ca="1">$B$61</f>
        <v/>
      </c>
      <c r="X28" s="55" t="str">
        <f ca="1">IF(C61=1,1,"")</f>
        <v/>
      </c>
    </row>
    <row r="29" spans="1:25" s="39" customFormat="1" ht="21.95" customHeight="1" x14ac:dyDescent="0.25">
      <c r="A29" s="80" t="s">
        <v>2160</v>
      </c>
      <c r="B29" s="68" t="b">
        <f>(B28&gt;0)</f>
        <v>0</v>
      </c>
      <c r="C29" s="57"/>
      <c r="D29" s="57"/>
      <c r="E29" s="57"/>
      <c r="F29" s="57"/>
      <c r="G29" s="57"/>
      <c r="I29" s="66" t="s">
        <v>2391</v>
      </c>
      <c r="J29" s="47"/>
      <c r="K29"/>
      <c r="L29" s="65"/>
      <c r="M29" s="65"/>
      <c r="N29" s="65"/>
      <c r="O29"/>
      <c r="P29" s="47"/>
      <c r="W29" s="43"/>
      <c r="X29" s="55">
        <f ca="1">G33</f>
        <v>1</v>
      </c>
    </row>
    <row r="30" spans="1:25" s="39" customFormat="1" ht="21.95" customHeight="1" x14ac:dyDescent="0.25">
      <c r="A30" s="97" t="s">
        <v>123</v>
      </c>
      <c r="B30" s="99" t="s">
        <v>2384</v>
      </c>
      <c r="C30" s="98"/>
      <c r="D30" s="98"/>
      <c r="E30" s="98"/>
      <c r="F30" s="98"/>
      <c r="G30" s="98"/>
      <c r="J30" s="47"/>
      <c r="L30" s="47"/>
      <c r="N30" s="47"/>
      <c r="P30" s="47"/>
      <c r="R30" s="47"/>
      <c r="T30" s="47"/>
      <c r="V30" s="47"/>
      <c r="X30" s="47"/>
    </row>
    <row r="31" spans="1:25" s="39" customFormat="1" ht="21.95" customHeight="1" thickBot="1" x14ac:dyDescent="0.3">
      <c r="A31" s="258" t="s">
        <v>2373</v>
      </c>
      <c r="B31" s="259" t="str">
        <f>""</f>
        <v/>
      </c>
      <c r="C31" s="259" t="str">
        <f ca="1">VLOOKUP(A31,DB_TBL_DATA_FIELDS[[FIELD_ID]:[PCT_CALC_FIELD_STATUS_CODE]],22,FALSE)</f>
        <v/>
      </c>
      <c r="D31" s="259" t="str">
        <f>IF(VLOOKUP(A31,DB_TBL_DATA_FIELDS[[FIELD_ID]:[ERROR_MESSAGE]],23,FALSE)&lt;&gt;0,VLOOKUP(A31,DB_TBL_DATA_FIELDS[[FIELD_ID]:[ERROR_MESSAGE]],23,FALSE),"")</f>
        <v/>
      </c>
      <c r="E31" s="259">
        <f>VLOOKUP(A31,DB_TBL_DATA_FIELDS[[#All],[FIELD_ID]:[RANGE_VALIDATION_MAX]],18,FALSE)</f>
        <v>0</v>
      </c>
      <c r="F31" s="259">
        <f>VLOOKUP(A31,DB_TBL_DATA_FIELDS[[#All],[FIELD_ID]:[RANGE_VALIDATION_MAX]],19,FALSE)</f>
        <v>0</v>
      </c>
      <c r="G31" s="259" t="str">
        <f t="shared" ref="G31" ca="1" si="0">IF(C31&lt;0,"",C31)</f>
        <v/>
      </c>
      <c r="I31" s="67" t="s">
        <v>2392</v>
      </c>
      <c r="J31" s="67"/>
      <c r="K31" s="67"/>
      <c r="L31" s="67"/>
      <c r="M31" s="67"/>
      <c r="N31" s="67"/>
      <c r="O31" s="67"/>
      <c r="P31" s="67"/>
      <c r="Q31" s="67"/>
      <c r="R31" s="67"/>
      <c r="S31" s="67"/>
      <c r="T31" s="67"/>
      <c r="U31" s="67"/>
      <c r="V31" s="67"/>
      <c r="W31" s="67"/>
      <c r="X31" s="67"/>
    </row>
    <row r="32" spans="1:25" s="39" customFormat="1" ht="21.95" customHeight="1" thickTop="1" x14ac:dyDescent="0.25">
      <c r="A32" s="258" t="s">
        <v>2375</v>
      </c>
      <c r="B32" s="259" t="str">
        <f>""</f>
        <v/>
      </c>
      <c r="C32" s="259" t="str">
        <f ca="1">VLOOKUP(A32,DB_TBL_DATA_FIELDS[[FIELD_ID]:[PCT_CALC_FIELD_STATUS_CODE]],22,FALSE)</f>
        <v/>
      </c>
      <c r="D32" s="259" t="str">
        <f>IF(VLOOKUP(A32,DB_TBL_DATA_FIELDS[[FIELD_ID]:[ERROR_MESSAGE]],23,FALSE)&lt;&gt;0,VLOOKUP(A32,DB_TBL_DATA_FIELDS[[FIELD_ID]:[ERROR_MESSAGE]],23,FALSE),"")</f>
        <v/>
      </c>
      <c r="E32" s="259">
        <f>VLOOKUP(A32,DB_TBL_DATA_FIELDS[[#All],[FIELD_ID]:[RANGE_VALIDATION_MAX]],18,FALSE)</f>
        <v>45000</v>
      </c>
      <c r="F32" s="259">
        <f>VLOOKUP(A32,DB_TBL_DATA_FIELDS[[#All],[FIELD_ID]:[RANGE_VALIDATION_MAX]],19,FALSE)</f>
        <v>99999</v>
      </c>
      <c r="G32" s="259" t="str">
        <f t="shared" ref="G32:G37" ca="1" si="1">IF(C32&lt;0,"",C32)</f>
        <v/>
      </c>
      <c r="J32" s="47"/>
      <c r="L32" s="47"/>
      <c r="N32" s="47"/>
      <c r="P32" s="47"/>
      <c r="R32" s="47"/>
      <c r="T32" s="47"/>
      <c r="V32" s="47"/>
      <c r="X32" s="47"/>
    </row>
    <row r="33" spans="1:25" s="39" customFormat="1" ht="21.95" customHeight="1" x14ac:dyDescent="0.25">
      <c r="A33" s="64" t="s">
        <v>2262</v>
      </c>
      <c r="B33" s="101" t="str">
        <f>IF(W29="","",IF(UPPER(W29)="YES",TRUE,FALSE))</f>
        <v/>
      </c>
      <c r="C33" s="57">
        <f ca="1">VLOOKUP(A33,DB_TBL_DATA_FIELDS[[FIELD_ID]:[PCT_CALC_FIELD_STATUS_CODE]],22,FALSE)</f>
        <v>1</v>
      </c>
      <c r="D33" s="57" t="str">
        <f>IF(VLOOKUP(A33,DB_TBL_DATA_FIELDS[[FIELD_ID]:[ERROR_MESSAGE]],23,FALSE)&lt;&gt;0,VLOOKUP(A33,DB_TBL_DATA_FIELDS[[FIELD_ID]:[ERROR_MESSAGE]],23,FALSE),"")</f>
        <v/>
      </c>
      <c r="E33" s="57">
        <f>VLOOKUP(A33,DB_TBL_DATA_FIELDS[[#All],[FIELD_ID]:[RANGE_VALIDATION_MAX]],18,FALSE)</f>
        <v>0</v>
      </c>
      <c r="F33" s="57">
        <f>VLOOKUP(A33,DB_TBL_DATA_FIELDS[[#All],[FIELD_ID]:[RANGE_VALIDATION_MAX]],19,FALSE)</f>
        <v>0</v>
      </c>
      <c r="G33" s="57">
        <f t="shared" ca="1" si="1"/>
        <v>1</v>
      </c>
      <c r="I33" s="315" t="s">
        <v>2395</v>
      </c>
      <c r="J33" s="316"/>
      <c r="K33" s="311" t="s">
        <v>2396</v>
      </c>
      <c r="L33" s="311"/>
      <c r="M33" s="311" t="s">
        <v>2389</v>
      </c>
      <c r="N33" s="311"/>
      <c r="O33" s="311"/>
      <c r="P33" s="311"/>
      <c r="Q33" s="317" t="s">
        <v>2390</v>
      </c>
      <c r="R33" s="318"/>
      <c r="S33" s="318"/>
      <c r="T33" s="318"/>
      <c r="U33" s="318"/>
      <c r="V33" s="319"/>
      <c r="W33" s="315" t="s">
        <v>2401</v>
      </c>
      <c r="X33" s="316"/>
      <c r="Y33"/>
    </row>
    <row r="34" spans="1:25" s="39" customFormat="1" ht="21.95" customHeight="1" x14ac:dyDescent="0.25">
      <c r="A34" s="64" t="s">
        <v>2263</v>
      </c>
      <c r="B34" s="101" t="str">
        <f>IF(K34&lt;&gt;"",K34,"")</f>
        <v/>
      </c>
      <c r="C34" s="57">
        <f ca="1">VLOOKUP(A34,DB_TBL_DATA_FIELDS[[FIELD_ID]:[PCT_CALC_FIELD_STATUS_CODE]],22,FALSE)</f>
        <v>-1</v>
      </c>
      <c r="D34" s="57" t="str">
        <f>IF(VLOOKUP(A34,DB_TBL_DATA_FIELDS[[FIELD_ID]:[ERROR_MESSAGE]],23,FALSE)&lt;&gt;0,VLOOKUP(A34,DB_TBL_DATA_FIELDS[[FIELD_ID]:[ERROR_MESSAGE]],23,FALSE),"")</f>
        <v/>
      </c>
      <c r="E34" s="57">
        <f>VLOOKUP(A34,DB_TBL_DATA_FIELDS[[#All],[FIELD_ID]:[RANGE_VALIDATION_MAX]],18,FALSE)</f>
        <v>0</v>
      </c>
      <c r="F34" s="57">
        <f>VLOOKUP(A34,DB_TBL_DATA_FIELDS[[#All],[FIELD_ID]:[RANGE_VALIDATION_MAX]],19,FALSE)</f>
        <v>10</v>
      </c>
      <c r="G34" s="57" t="str">
        <f t="shared" ca="1" si="1"/>
        <v/>
      </c>
      <c r="I34" s="312" t="s">
        <v>2393</v>
      </c>
      <c r="J34" s="313"/>
      <c r="K34" s="124"/>
      <c r="L34" s="69" t="str">
        <f ca="1">G34</f>
        <v/>
      </c>
      <c r="M34" s="283"/>
      <c r="N34" s="284"/>
      <c r="O34" s="284"/>
      <c r="P34" s="69">
        <f ca="1">G35</f>
        <v>1</v>
      </c>
      <c r="Q34" s="320"/>
      <c r="R34" s="321"/>
      <c r="S34" s="321"/>
      <c r="T34" s="321"/>
      <c r="U34" s="321"/>
      <c r="V34" s="69">
        <f ca="1">G36</f>
        <v>1</v>
      </c>
      <c r="W34" s="123"/>
      <c r="X34" s="69">
        <f ca="1">G37</f>
        <v>1</v>
      </c>
      <c r="Y34"/>
    </row>
    <row r="35" spans="1:25" s="39" customFormat="1" ht="21.95" customHeight="1" x14ac:dyDescent="0.25">
      <c r="A35" s="64" t="s">
        <v>2264</v>
      </c>
      <c r="B35" s="101" t="str">
        <f>IF(M34&lt;&gt;"",M34,"")</f>
        <v/>
      </c>
      <c r="C35" s="57">
        <f ca="1">VLOOKUP(A35,DB_TBL_DATA_FIELDS[[FIELD_ID]:[PCT_CALC_FIELD_STATUS_CODE]],22,FALSE)</f>
        <v>1</v>
      </c>
      <c r="D35" s="57" t="str">
        <f>IF(VLOOKUP(A35,DB_TBL_DATA_FIELDS[[FIELD_ID]:[ERROR_MESSAGE]],23,FALSE)&lt;&gt;0,VLOOKUP(A35,DB_TBL_DATA_FIELDS[[FIELD_ID]:[ERROR_MESSAGE]],23,FALSE),"")</f>
        <v/>
      </c>
      <c r="E35" s="57">
        <f>VLOOKUP(A35,DB_TBL_DATA_FIELDS[[#All],[FIELD_ID]:[RANGE_VALIDATION_MAX]],18,FALSE)</f>
        <v>0</v>
      </c>
      <c r="F35" s="57">
        <f>VLOOKUP(A35,DB_TBL_DATA_FIELDS[[#All],[FIELD_ID]:[RANGE_VALIDATION_MAX]],19,FALSE)</f>
        <v>30</v>
      </c>
      <c r="G35" s="57">
        <f t="shared" ca="1" si="1"/>
        <v>1</v>
      </c>
      <c r="I35" s="312" t="s">
        <v>2388</v>
      </c>
      <c r="J35" s="313"/>
      <c r="K35" s="124"/>
      <c r="L35" s="69" t="str">
        <f ca="1">G38</f>
        <v/>
      </c>
      <c r="M35" s="283"/>
      <c r="N35" s="284"/>
      <c r="O35" s="284"/>
      <c r="P35" s="69" t="str">
        <f ca="1">G39</f>
        <v/>
      </c>
      <c r="Q35" s="320"/>
      <c r="R35" s="321"/>
      <c r="S35" s="321"/>
      <c r="T35" s="321"/>
      <c r="U35" s="321"/>
      <c r="V35" s="69" t="str">
        <f ca="1">G40</f>
        <v/>
      </c>
      <c r="W35" s="129"/>
      <c r="X35" s="69" t="str">
        <f ca="1">G41</f>
        <v/>
      </c>
      <c r="Y35"/>
    </row>
    <row r="36" spans="1:25" s="39" customFormat="1" ht="21.95" customHeight="1" x14ac:dyDescent="0.25">
      <c r="A36" s="64" t="s">
        <v>2265</v>
      </c>
      <c r="B36" s="101" t="str">
        <f>IF(Q34&lt;&gt;"",Q34,"")</f>
        <v/>
      </c>
      <c r="C36" s="57">
        <f ca="1">VLOOKUP(A36,DB_TBL_DATA_FIELDS[[FIELD_ID]:[PCT_CALC_FIELD_STATUS_CODE]],22,FALSE)</f>
        <v>1</v>
      </c>
      <c r="D36" s="57" t="str">
        <f>IF(VLOOKUP(A36,DB_TBL_DATA_FIELDS[[FIELD_ID]:[ERROR_MESSAGE]],23,FALSE)&lt;&gt;0,VLOOKUP(A36,DB_TBL_DATA_FIELDS[[FIELD_ID]:[ERROR_MESSAGE]],23,FALSE),"")</f>
        <v/>
      </c>
      <c r="E36" s="57">
        <f>VLOOKUP(A36,DB_TBL_DATA_FIELDS[[#All],[FIELD_ID]:[RANGE_VALIDATION_MAX]],18,FALSE)</f>
        <v>0</v>
      </c>
      <c r="F36" s="57">
        <f>VLOOKUP(A36,DB_TBL_DATA_FIELDS[[#All],[FIELD_ID]:[RANGE_VALIDATION_MAX]],19,FALSE)</f>
        <v>30</v>
      </c>
      <c r="G36" s="57">
        <f t="shared" ca="1" si="1"/>
        <v>1</v>
      </c>
      <c r="I36" s="312" t="s">
        <v>2394</v>
      </c>
      <c r="J36" s="313"/>
      <c r="K36" s="124"/>
      <c r="L36" s="69" t="str">
        <f ca="1">G42</f>
        <v/>
      </c>
      <c r="M36" s="283"/>
      <c r="N36" s="284"/>
      <c r="O36" s="284"/>
      <c r="P36" s="69" t="str">
        <f ca="1">G43</f>
        <v/>
      </c>
      <c r="Q36" s="322"/>
      <c r="R36" s="323"/>
      <c r="S36" s="323"/>
      <c r="T36" s="323"/>
      <c r="U36" s="323"/>
      <c r="V36" s="69" t="str">
        <f ca="1">G44</f>
        <v/>
      </c>
      <c r="W36" s="129"/>
      <c r="X36" s="69" t="str">
        <f ca="1">G45</f>
        <v/>
      </c>
      <c r="Y36"/>
    </row>
    <row r="37" spans="1:25" s="39" customFormat="1" ht="21.95" customHeight="1" x14ac:dyDescent="0.25">
      <c r="A37" s="64" t="s">
        <v>2266</v>
      </c>
      <c r="B37" s="101" t="str">
        <f>IF(W34&lt;&gt;"",W34,"")</f>
        <v/>
      </c>
      <c r="C37" s="57">
        <f ca="1">VLOOKUP(A37,DB_TBL_DATA_FIELDS[[FIELD_ID]:[PCT_CALC_FIELD_STATUS_CODE]],22,FALSE)</f>
        <v>1</v>
      </c>
      <c r="D37" s="57" t="str">
        <f>IF(VLOOKUP(A37,DB_TBL_DATA_FIELDS[[FIELD_ID]:[ERROR_MESSAGE]],23,FALSE)&lt;&gt;0,VLOOKUP(A37,DB_TBL_DATA_FIELDS[[FIELD_ID]:[ERROR_MESSAGE]],23,FALSE),"")</f>
        <v/>
      </c>
      <c r="E37" s="57">
        <f>VLOOKUP(A37,DB_TBL_DATA_FIELDS[[#All],[FIELD_ID]:[RANGE_VALIDATION_MAX]],18,FALSE)</f>
        <v>0</v>
      </c>
      <c r="F37" s="57">
        <f>VLOOKUP(A37,DB_TBL_DATA_FIELDS[[#All],[FIELD_ID]:[RANGE_VALIDATION_MAX]],19,FALSE)</f>
        <v>25</v>
      </c>
      <c r="G37" s="57">
        <f t="shared" ca="1" si="1"/>
        <v>1</v>
      </c>
      <c r="J37" s="47"/>
      <c r="L37" s="47"/>
      <c r="N37" s="47"/>
      <c r="P37" s="47"/>
      <c r="R37" s="47"/>
      <c r="T37" s="47"/>
      <c r="V37" s="47"/>
      <c r="X37" s="47"/>
    </row>
    <row r="38" spans="1:25" ht="21.95" customHeight="1" thickBot="1" x14ac:dyDescent="0.3">
      <c r="A38" s="64" t="s">
        <v>2268</v>
      </c>
      <c r="B38" s="101" t="str">
        <f>IF(K35&lt;&gt;"",K35,"")</f>
        <v/>
      </c>
      <c r="C38" s="57">
        <f ca="1">VLOOKUP(A38,DB_TBL_DATA_FIELDS[[FIELD_ID]:[PCT_CALC_FIELD_STATUS_CODE]],22,FALSE)</f>
        <v>-1</v>
      </c>
      <c r="D38" s="57" t="str">
        <f>IF(VLOOKUP(A38,DB_TBL_DATA_FIELDS[[FIELD_ID]:[ERROR_MESSAGE]],23,FALSE)&lt;&gt;0,VLOOKUP(A38,DB_TBL_DATA_FIELDS[[FIELD_ID]:[ERROR_MESSAGE]],23,FALSE),"")</f>
        <v/>
      </c>
      <c r="E38" s="57">
        <f>VLOOKUP(A38,DB_TBL_DATA_FIELDS[[#All],[FIELD_ID]:[RANGE_VALIDATION_MAX]],18,FALSE)</f>
        <v>0</v>
      </c>
      <c r="F38" s="57">
        <f>VLOOKUP(A38,DB_TBL_DATA_FIELDS[[#All],[FIELD_ID]:[RANGE_VALIDATION_MAX]],19,FALSE)</f>
        <v>10</v>
      </c>
      <c r="G38" s="57" t="str">
        <f t="shared" ref="G38:G52" ca="1" si="2">IF(C38&lt;0,"",C38)</f>
        <v/>
      </c>
      <c r="H38" s="39"/>
      <c r="I38" s="67" t="s">
        <v>2408</v>
      </c>
      <c r="J38" s="67"/>
      <c r="K38" s="67"/>
      <c r="L38" s="67"/>
      <c r="M38" s="67"/>
      <c r="N38" s="67"/>
      <c r="O38" s="67"/>
      <c r="P38" s="67"/>
      <c r="Q38" s="67"/>
      <c r="R38" s="67"/>
      <c r="S38" s="67"/>
      <c r="T38" s="67"/>
      <c r="U38" s="67"/>
      <c r="V38" s="67"/>
      <c r="W38" s="67"/>
      <c r="X38" s="67"/>
      <c r="Y38" s="39"/>
    </row>
    <row r="39" spans="1:25" ht="21.95" customHeight="1" thickTop="1" x14ac:dyDescent="0.25">
      <c r="A39" s="64" t="s">
        <v>2269</v>
      </c>
      <c r="B39" s="101" t="str">
        <f>IF(M35&lt;&gt;"",M35,"")</f>
        <v/>
      </c>
      <c r="C39" s="57">
        <f ca="1">VLOOKUP(A39,DB_TBL_DATA_FIELDS[[FIELD_ID]:[PCT_CALC_FIELD_STATUS_CODE]],22,FALSE)</f>
        <v>-1</v>
      </c>
      <c r="D39" s="57" t="str">
        <f>IF(VLOOKUP(A39,DB_TBL_DATA_FIELDS[[FIELD_ID]:[ERROR_MESSAGE]],23,FALSE)&lt;&gt;0,VLOOKUP(A39,DB_TBL_DATA_FIELDS[[FIELD_ID]:[ERROR_MESSAGE]],23,FALSE),"")</f>
        <v/>
      </c>
      <c r="E39" s="57">
        <f>VLOOKUP(A39,DB_TBL_DATA_FIELDS[[#All],[FIELD_ID]:[RANGE_VALIDATION_MAX]],18,FALSE)</f>
        <v>0</v>
      </c>
      <c r="F39" s="57">
        <f>VLOOKUP(A39,DB_TBL_DATA_FIELDS[[#All],[FIELD_ID]:[RANGE_VALIDATION_MAX]],19,FALSE)</f>
        <v>30</v>
      </c>
      <c r="G39" s="57" t="str">
        <f t="shared" ca="1" si="2"/>
        <v/>
      </c>
      <c r="H39" s="39"/>
      <c r="I39" s="39"/>
      <c r="K39" s="39"/>
      <c r="M39" s="39"/>
      <c r="O39" s="39"/>
      <c r="Q39" s="39"/>
      <c r="S39" s="39"/>
      <c r="U39" s="39"/>
      <c r="W39" s="39"/>
      <c r="Y39" s="39"/>
    </row>
    <row r="40" spans="1:25" ht="21.95" customHeight="1" x14ac:dyDescent="0.25">
      <c r="A40" s="64" t="s">
        <v>2270</v>
      </c>
      <c r="B40" s="101" t="str">
        <f>IF(Q35&lt;&gt;"",Q35,"")</f>
        <v/>
      </c>
      <c r="C40" s="57">
        <f ca="1">VLOOKUP(A40,DB_TBL_DATA_FIELDS[[FIELD_ID]:[PCT_CALC_FIELD_STATUS_CODE]],22,FALSE)</f>
        <v>-1</v>
      </c>
      <c r="D40" s="57" t="str">
        <f>IF(VLOOKUP(A40,DB_TBL_DATA_FIELDS[[FIELD_ID]:[ERROR_MESSAGE]],23,FALSE)&lt;&gt;0,VLOOKUP(A40,DB_TBL_DATA_FIELDS[[FIELD_ID]:[ERROR_MESSAGE]],23,FALSE),"")</f>
        <v/>
      </c>
      <c r="E40" s="57">
        <f>VLOOKUP(A40,DB_TBL_DATA_FIELDS[[#All],[FIELD_ID]:[RANGE_VALIDATION_MAX]],18,FALSE)</f>
        <v>0</v>
      </c>
      <c r="F40" s="57">
        <f>VLOOKUP(A40,DB_TBL_DATA_FIELDS[[#All],[FIELD_ID]:[RANGE_VALIDATION_MAX]],19,FALSE)</f>
        <v>30</v>
      </c>
      <c r="G40" s="57" t="str">
        <f t="shared" ca="1" si="2"/>
        <v/>
      </c>
      <c r="H40" s="39"/>
      <c r="I40" s="39" t="s">
        <v>2409</v>
      </c>
      <c r="K40" s="39"/>
      <c r="M40" s="39"/>
      <c r="Q40" s="39" t="s">
        <v>51</v>
      </c>
      <c r="S40" s="39"/>
      <c r="U40" s="39" t="s">
        <v>52</v>
      </c>
      <c r="W40" s="39" t="s">
        <v>53</v>
      </c>
      <c r="Y40" s="39"/>
    </row>
    <row r="41" spans="1:25" ht="21.95" customHeight="1" x14ac:dyDescent="0.25">
      <c r="A41" s="64" t="s">
        <v>2273</v>
      </c>
      <c r="B41" s="101" t="str">
        <f>IF(W35&lt;&gt;"",W35,"")</f>
        <v/>
      </c>
      <c r="C41" s="57">
        <f ca="1">VLOOKUP(A41,DB_TBL_DATA_FIELDS[[FIELD_ID]:[PCT_CALC_FIELD_STATUS_CODE]],22,FALSE)</f>
        <v>-1</v>
      </c>
      <c r="D41" s="57" t="str">
        <f>IF(VLOOKUP(A41,DB_TBL_DATA_FIELDS[[FIELD_ID]:[ERROR_MESSAGE]],23,FALSE)&lt;&gt;0,VLOOKUP(A41,DB_TBL_DATA_FIELDS[[FIELD_ID]:[ERROR_MESSAGE]],23,FALSE),"")</f>
        <v/>
      </c>
      <c r="E41" s="57">
        <f>VLOOKUP(A41,DB_TBL_DATA_FIELDS[[#All],[FIELD_ID]:[RANGE_VALIDATION_MAX]],18,FALSE)</f>
        <v>0</v>
      </c>
      <c r="F41" s="57">
        <f>VLOOKUP(A41,DB_TBL_DATA_FIELDS[[#All],[FIELD_ID]:[RANGE_VALIDATION_MAX]],19,FALSE)</f>
        <v>25</v>
      </c>
      <c r="G41" s="57" t="str">
        <f t="shared" ca="1" si="2"/>
        <v/>
      </c>
      <c r="H41" s="39"/>
      <c r="I41" s="290"/>
      <c r="J41" s="290"/>
      <c r="K41" s="290"/>
      <c r="L41" s="290"/>
      <c r="M41" s="290"/>
      <c r="N41" s="290"/>
      <c r="O41" s="290"/>
      <c r="P41" s="55">
        <f ca="1">G46</f>
        <v>1</v>
      </c>
      <c r="Q41" s="283"/>
      <c r="R41" s="284"/>
      <c r="S41" s="285"/>
      <c r="T41" s="55">
        <f ca="1">G47</f>
        <v>1</v>
      </c>
      <c r="U41" s="43"/>
      <c r="V41" s="55">
        <f ca="1">G48</f>
        <v>1</v>
      </c>
      <c r="W41" s="131"/>
      <c r="X41" s="55">
        <f ca="1">G49</f>
        <v>1</v>
      </c>
      <c r="Y41" s="39"/>
    </row>
    <row r="42" spans="1:25" ht="21.95" customHeight="1" x14ac:dyDescent="0.25">
      <c r="A42" s="64" t="s">
        <v>2271</v>
      </c>
      <c r="B42" s="101" t="str">
        <f>IF(K36&lt;&gt;"",K36,"")</f>
        <v/>
      </c>
      <c r="C42" s="57">
        <f ca="1">VLOOKUP(A42,DB_TBL_DATA_FIELDS[[FIELD_ID]:[PCT_CALC_FIELD_STATUS_CODE]],22,FALSE)</f>
        <v>-1</v>
      </c>
      <c r="D42" s="57" t="str">
        <f>IF(VLOOKUP(A42,DB_TBL_DATA_FIELDS[[FIELD_ID]:[ERROR_MESSAGE]],23,FALSE)&lt;&gt;0,VLOOKUP(A42,DB_TBL_DATA_FIELDS[[FIELD_ID]:[ERROR_MESSAGE]],23,FALSE),"")</f>
        <v/>
      </c>
      <c r="E42" s="57">
        <f>VLOOKUP(A42,DB_TBL_DATA_FIELDS[[#All],[FIELD_ID]:[RANGE_VALIDATION_MAX]],18,FALSE)</f>
        <v>0</v>
      </c>
      <c r="F42" s="57">
        <f>VLOOKUP(A42,DB_TBL_DATA_FIELDS[[#All],[FIELD_ID]:[RANGE_VALIDATION_MAX]],19,FALSE)</f>
        <v>10</v>
      </c>
      <c r="G42" s="57" t="str">
        <f t="shared" ca="1" si="2"/>
        <v/>
      </c>
      <c r="H42" s="39"/>
      <c r="I42" s="39" t="s">
        <v>2927</v>
      </c>
      <c r="K42" s="39"/>
      <c r="M42" s="39"/>
      <c r="O42" s="39"/>
      <c r="Q42" s="39" t="s">
        <v>108</v>
      </c>
      <c r="S42" s="39"/>
      <c r="U42" s="39" t="s">
        <v>2202</v>
      </c>
      <c r="W42" s="39"/>
      <c r="Y42" s="39"/>
    </row>
    <row r="43" spans="1:25" ht="21.95" customHeight="1" x14ac:dyDescent="0.25">
      <c r="A43" s="64" t="s">
        <v>2272</v>
      </c>
      <c r="B43" s="101" t="str">
        <f>IF(M36&lt;&gt;"",M36,"")</f>
        <v/>
      </c>
      <c r="C43" s="57">
        <f ca="1">VLOOKUP(A43,DB_TBL_DATA_FIELDS[[FIELD_ID]:[PCT_CALC_FIELD_STATUS_CODE]],22,FALSE)</f>
        <v>-1</v>
      </c>
      <c r="D43" s="57" t="str">
        <f>IF(VLOOKUP(A43,DB_TBL_DATA_FIELDS[[FIELD_ID]:[ERROR_MESSAGE]],23,FALSE)&lt;&gt;0,VLOOKUP(A43,DB_TBL_DATA_FIELDS[[FIELD_ID]:[ERROR_MESSAGE]],23,FALSE),"")</f>
        <v/>
      </c>
      <c r="E43" s="57">
        <f>VLOOKUP(A43,DB_TBL_DATA_FIELDS[[#All],[FIELD_ID]:[RANGE_VALIDATION_MAX]],18,FALSE)</f>
        <v>0</v>
      </c>
      <c r="F43" s="57">
        <f>VLOOKUP(A43,DB_TBL_DATA_FIELDS[[#All],[FIELD_ID]:[RANGE_VALIDATION_MAX]],19,FALSE)</f>
        <v>30</v>
      </c>
      <c r="G43" s="57" t="str">
        <f t="shared" ca="1" si="2"/>
        <v/>
      </c>
      <c r="H43" s="39"/>
      <c r="I43" s="324"/>
      <c r="J43" s="324"/>
      <c r="K43" s="324"/>
      <c r="L43" s="324"/>
      <c r="M43" s="324"/>
      <c r="N43" s="324"/>
      <c r="O43" s="324"/>
      <c r="P43" s="55">
        <f ca="1">G50</f>
        <v>1</v>
      </c>
      <c r="Q43" s="287"/>
      <c r="R43" s="288"/>
      <c r="S43" s="289"/>
      <c r="T43" s="55" t="str">
        <f ca="1">G51</f>
        <v/>
      </c>
      <c r="U43" s="44"/>
      <c r="V43" s="130" t="s">
        <v>109</v>
      </c>
      <c r="W43" s="45"/>
      <c r="X43" s="55">
        <f ca="1">G52</f>
        <v>1</v>
      </c>
      <c r="Y43" s="39"/>
    </row>
    <row r="44" spans="1:25" ht="21.95" customHeight="1" x14ac:dyDescent="0.25">
      <c r="A44" s="64" t="s">
        <v>2277</v>
      </c>
      <c r="B44" s="101" t="str">
        <f>IF(Q36&lt;&gt;"",Q36,"")</f>
        <v/>
      </c>
      <c r="C44" s="57">
        <f ca="1">VLOOKUP(A44,DB_TBL_DATA_FIELDS[[FIELD_ID]:[PCT_CALC_FIELD_STATUS_CODE]],22,FALSE)</f>
        <v>-1</v>
      </c>
      <c r="D44" s="57" t="str">
        <f>IF(VLOOKUP(A44,DB_TBL_DATA_FIELDS[[FIELD_ID]:[ERROR_MESSAGE]],23,FALSE)&lt;&gt;0,VLOOKUP(A44,DB_TBL_DATA_FIELDS[[FIELD_ID]:[ERROR_MESSAGE]],23,FALSE),"")</f>
        <v/>
      </c>
      <c r="E44" s="57">
        <f>VLOOKUP(A44,DB_TBL_DATA_FIELDS[[#All],[FIELD_ID]:[RANGE_VALIDATION_MAX]],18,FALSE)</f>
        <v>0</v>
      </c>
      <c r="F44" s="57">
        <f>VLOOKUP(A44,DB_TBL_DATA_FIELDS[[#All],[FIELD_ID]:[RANGE_VALIDATION_MAX]],19,FALSE)</f>
        <v>30</v>
      </c>
      <c r="G44" s="57" t="str">
        <f t="shared" ca="1" si="2"/>
        <v/>
      </c>
      <c r="H44" s="39"/>
      <c r="I44" s="39"/>
      <c r="K44" s="39"/>
      <c r="M44" s="39"/>
      <c r="W44" s="39"/>
      <c r="Y44" s="39"/>
    </row>
    <row r="45" spans="1:25" ht="21.95" customHeight="1" thickBot="1" x14ac:dyDescent="0.3">
      <c r="A45" s="64" t="s">
        <v>2275</v>
      </c>
      <c r="B45" s="101" t="str">
        <f>IF(W36&lt;&gt;"",W36,"")</f>
        <v/>
      </c>
      <c r="C45" s="57">
        <f ca="1">VLOOKUP(A45,DB_TBL_DATA_FIELDS[[FIELD_ID]:[PCT_CALC_FIELD_STATUS_CODE]],22,FALSE)</f>
        <v>-1</v>
      </c>
      <c r="D45" s="57" t="str">
        <f>IF(VLOOKUP(A45,DB_TBL_DATA_FIELDS[[FIELD_ID]:[ERROR_MESSAGE]],23,FALSE)&lt;&gt;0,VLOOKUP(A45,DB_TBL_DATA_FIELDS[[FIELD_ID]:[ERROR_MESSAGE]],23,FALSE),"")</f>
        <v/>
      </c>
      <c r="E45" s="57">
        <f>VLOOKUP(A45,DB_TBL_DATA_FIELDS[[#All],[FIELD_ID]:[RANGE_VALIDATION_MAX]],18,FALSE)</f>
        <v>0</v>
      </c>
      <c r="F45" s="57">
        <f>VLOOKUP(A45,DB_TBL_DATA_FIELDS[[#All],[FIELD_ID]:[RANGE_VALIDATION_MAX]],19,FALSE)</f>
        <v>25</v>
      </c>
      <c r="G45" s="57" t="str">
        <f t="shared" ca="1" si="2"/>
        <v/>
      </c>
      <c r="I45" s="58" t="str">
        <f>B64</f>
        <v>Grant Summary</v>
      </c>
      <c r="J45" s="58"/>
      <c r="K45" s="58"/>
      <c r="L45" s="58"/>
      <c r="M45" s="58"/>
      <c r="N45" s="58"/>
      <c r="O45" s="58"/>
      <c r="P45" s="58"/>
      <c r="Q45" s="58"/>
      <c r="R45" s="58"/>
      <c r="S45" s="58"/>
      <c r="T45" s="58"/>
      <c r="U45" s="58"/>
      <c r="V45" s="58"/>
      <c r="W45" s="58"/>
      <c r="X45" s="59" t="str">
        <f ca="1">"Status: "&amp;$B$74</f>
        <v>Status: Not Started</v>
      </c>
      <c r="Y45" s="39"/>
    </row>
    <row r="46" spans="1:25" ht="21.95" customHeight="1" x14ac:dyDescent="0.25">
      <c r="A46" s="64" t="s">
        <v>2278</v>
      </c>
      <c r="B46" s="101" t="str">
        <f>IF(I41&lt;&gt;"",I41,"")</f>
        <v/>
      </c>
      <c r="C46" s="57">
        <f ca="1">VLOOKUP(A46,DB_TBL_DATA_FIELDS[[FIELD_ID]:[PCT_CALC_FIELD_STATUS_CODE]],22,FALSE)</f>
        <v>1</v>
      </c>
      <c r="D46" s="57" t="str">
        <f>IF(VLOOKUP(A46,DB_TBL_DATA_FIELDS[[FIELD_ID]:[ERROR_MESSAGE]],23,FALSE)&lt;&gt;0,VLOOKUP(A46,DB_TBL_DATA_FIELDS[[FIELD_ID]:[ERROR_MESSAGE]],23,FALSE),"")</f>
        <v/>
      </c>
      <c r="E46" s="57">
        <f>VLOOKUP(A46,DB_TBL_DATA_FIELDS[[#All],[FIELD_ID]:[RANGE_VALIDATION_MAX]],18,FALSE)</f>
        <v>0</v>
      </c>
      <c r="F46" s="57">
        <f>VLOOKUP(A46,DB_TBL_DATA_FIELDS[[#All],[FIELD_ID]:[RANGE_VALIDATION_MAX]],19,FALSE)</f>
        <v>75</v>
      </c>
      <c r="G46" s="57">
        <f t="shared" ca="1" si="2"/>
        <v>1</v>
      </c>
      <c r="I46" s="133"/>
      <c r="J46" s="133"/>
      <c r="K46" s="133"/>
      <c r="L46" s="133"/>
      <c r="M46" s="133"/>
      <c r="N46" s="133"/>
      <c r="O46" s="133"/>
      <c r="P46" s="133"/>
      <c r="Q46" s="133"/>
      <c r="R46" s="133"/>
      <c r="S46" s="133"/>
      <c r="T46" s="133"/>
      <c r="U46" s="133"/>
      <c r="V46" s="133"/>
      <c r="W46" s="133"/>
      <c r="X46" s="134"/>
      <c r="Y46" s="39"/>
    </row>
    <row r="47" spans="1:25" ht="21.95" customHeight="1" x14ac:dyDescent="0.25">
      <c r="A47" s="64" t="s">
        <v>2279</v>
      </c>
      <c r="B47" s="101" t="str">
        <f>IF(Q41&lt;&gt;"",Q41,"")</f>
        <v/>
      </c>
      <c r="C47" s="57">
        <f ca="1">VLOOKUP(A47,DB_TBL_DATA_FIELDS[[FIELD_ID]:[PCT_CALC_FIELD_STATUS_CODE]],22,FALSE)</f>
        <v>1</v>
      </c>
      <c r="D47" s="57" t="str">
        <f>IF(VLOOKUP(A47,DB_TBL_DATA_FIELDS[[FIELD_ID]:[ERROR_MESSAGE]],23,FALSE)&lt;&gt;0,VLOOKUP(A47,DB_TBL_DATA_FIELDS[[FIELD_ID]:[ERROR_MESSAGE]],23,FALSE),"")</f>
        <v/>
      </c>
      <c r="E47" s="57">
        <f>VLOOKUP(A47,DB_TBL_DATA_FIELDS[[#All],[FIELD_ID]:[RANGE_VALIDATION_MAX]],18,FALSE)</f>
        <v>0</v>
      </c>
      <c r="F47" s="57">
        <f>VLOOKUP(A47,DB_TBL_DATA_FIELDS[[#All],[FIELD_ID]:[RANGE_VALIDATION_MAX]],19,FALSE)</f>
        <v>30</v>
      </c>
      <c r="G47" s="57">
        <f t="shared" ca="1" si="2"/>
        <v>1</v>
      </c>
      <c r="I47" s="133"/>
      <c r="J47" s="133"/>
      <c r="K47" s="133"/>
      <c r="L47" s="133"/>
      <c r="M47" s="133"/>
      <c r="N47" s="133"/>
      <c r="O47" s="133"/>
      <c r="P47" s="133"/>
      <c r="Q47" s="133"/>
      <c r="R47" s="133"/>
      <c r="S47" s="133"/>
      <c r="T47" s="133"/>
      <c r="U47" s="133"/>
      <c r="V47" s="133"/>
      <c r="W47" s="133"/>
      <c r="X47" s="134"/>
      <c r="Y47" s="39"/>
    </row>
    <row r="48" spans="1:25" ht="21.95" customHeight="1" x14ac:dyDescent="0.25">
      <c r="A48" s="64" t="s">
        <v>2280</v>
      </c>
      <c r="B48" s="101" t="str">
        <f>IF(U41&lt;&gt;"",U41,"")</f>
        <v/>
      </c>
      <c r="C48" s="57">
        <f ca="1">VLOOKUP(A48,DB_TBL_DATA_FIELDS[[FIELD_ID]:[PCT_CALC_FIELD_STATUS_CODE]],22,FALSE)</f>
        <v>1</v>
      </c>
      <c r="D48" s="57" t="str">
        <f>IF(VLOOKUP(A48,DB_TBL_DATA_FIELDS[[FIELD_ID]:[ERROR_MESSAGE]],23,FALSE)&lt;&gt;0,VLOOKUP(A48,DB_TBL_DATA_FIELDS[[FIELD_ID]:[ERROR_MESSAGE]],23,FALSE),"")</f>
        <v/>
      </c>
      <c r="E48" s="57">
        <f>VLOOKUP(A48,DB_TBL_DATA_FIELDS[[#All],[FIELD_ID]:[RANGE_VALIDATION_MAX]],18,FALSE)</f>
        <v>0</v>
      </c>
      <c r="F48" s="57">
        <f>VLOOKUP(A48,DB_TBL_DATA_FIELDS[[#All],[FIELD_ID]:[RANGE_VALIDATION_MAX]],19,FALSE)</f>
        <v>2</v>
      </c>
      <c r="G48" s="57">
        <f t="shared" ca="1" si="2"/>
        <v>1</v>
      </c>
      <c r="I48" s="39" t="str">
        <f>"Requested Grant Amount (must not exceed "&amp;TEXT(CONFIG_GRANT_AMT_MAX,"$#,###")&amp;")"</f>
        <v>Requested Grant Amount (must not exceed $9,500)</v>
      </c>
      <c r="L48" s="132"/>
      <c r="U48" s="301"/>
      <c r="V48" s="301"/>
      <c r="W48" s="301"/>
      <c r="X48" s="55">
        <f ca="1">G65</f>
        <v>1</v>
      </c>
    </row>
    <row r="49" spans="1:25" ht="21.95" customHeight="1" x14ac:dyDescent="0.25">
      <c r="A49" s="64" t="s">
        <v>2281</v>
      </c>
      <c r="B49" s="101" t="str">
        <f>IF(W41&lt;&gt;"",TEXT(W41,"00000"),"")</f>
        <v/>
      </c>
      <c r="C49" s="57">
        <f ca="1">VLOOKUP(A49,DB_TBL_DATA_FIELDS[[FIELD_ID]:[PCT_CALC_FIELD_STATUS_CODE]],22,FALSE)</f>
        <v>1</v>
      </c>
      <c r="D49" s="57" t="str">
        <f>IF(VLOOKUP(A49,DB_TBL_DATA_FIELDS[[FIELD_ID]:[ERROR_MESSAGE]],23,FALSE)&lt;&gt;0,VLOOKUP(A49,DB_TBL_DATA_FIELDS[[FIELD_ID]:[ERROR_MESSAGE]],23,FALSE),"")</f>
        <v/>
      </c>
      <c r="E49" s="57">
        <f>VLOOKUP(A49,DB_TBL_DATA_FIELDS[[#All],[FIELD_ID]:[RANGE_VALIDATION_MAX]],18,FALSE)</f>
        <v>5</v>
      </c>
      <c r="F49" s="57">
        <f>VLOOKUP(A49,DB_TBL_DATA_FIELDS[[#All],[FIELD_ID]:[RANGE_VALIDATION_MAX]],19,FALSE)</f>
        <v>10</v>
      </c>
      <c r="G49" s="57">
        <f t="shared" ca="1" si="2"/>
        <v>1</v>
      </c>
      <c r="I49" s="39" t="str">
        <f>"Counseling Cost Defrayment Amount (must not exceed "&amp;TEXT(CONFIG_COUNSEL_AMT_MAX,"$#,###")&amp;")"</f>
        <v>Counseling Cost Defrayment Amount (must not exceed $500)</v>
      </c>
      <c r="N49" s="132"/>
      <c r="U49" s="301"/>
      <c r="V49" s="301"/>
      <c r="W49" s="301"/>
      <c r="X49" s="55">
        <f ca="1">G66</f>
        <v>1</v>
      </c>
      <c r="Y49" s="39"/>
    </row>
    <row r="50" spans="1:25" ht="21.95" customHeight="1" x14ac:dyDescent="0.25">
      <c r="A50" s="64" t="s">
        <v>2282</v>
      </c>
      <c r="B50" s="101" t="str">
        <f>IF(I43&lt;&gt;"",I43,"")</f>
        <v/>
      </c>
      <c r="C50" s="57">
        <f ca="1">VLOOKUP(A50,DB_TBL_DATA_FIELDS[[FIELD_ID]:[PCT_CALC_FIELD_STATUS_CODE]],22,FALSE)</f>
        <v>1</v>
      </c>
      <c r="D50" s="57" t="str">
        <f>IF(VLOOKUP(A50,DB_TBL_DATA_FIELDS[[FIELD_ID]:[ERROR_MESSAGE]],23,FALSE)&lt;&gt;0,VLOOKUP(A50,DB_TBL_DATA_FIELDS[[FIELD_ID]:[ERROR_MESSAGE]],23,FALSE),"")</f>
        <v/>
      </c>
      <c r="E50" s="57">
        <f>VLOOKUP(A50,DB_TBL_DATA_FIELDS[[#All],[FIELD_ID]:[RANGE_VALIDATION_MAX]],18,FALSE)</f>
        <v>0</v>
      </c>
      <c r="F50" s="57">
        <f>VLOOKUP(A50,DB_TBL_DATA_FIELDS[[#All],[FIELD_ID]:[RANGE_VALIDATION_MAX]],19,FALSE)</f>
        <v>50</v>
      </c>
      <c r="G50" s="57">
        <f t="shared" ca="1" si="2"/>
        <v>1</v>
      </c>
      <c r="I50" s="39" t="str">
        <f>"Total Requested Grant Amount"</f>
        <v>Total Requested Grant Amount</v>
      </c>
      <c r="J50"/>
      <c r="L50"/>
      <c r="N50"/>
      <c r="P50"/>
      <c r="R50"/>
      <c r="T50"/>
      <c r="U50" s="314">
        <f ca="1">B67</f>
        <v>0</v>
      </c>
      <c r="V50" s="314"/>
      <c r="W50" s="314"/>
      <c r="X50" s="55" t="str">
        <f ca="1">G67</f>
        <v/>
      </c>
      <c r="Y50" s="39"/>
    </row>
    <row r="51" spans="1:25" ht="21.95" customHeight="1" x14ac:dyDescent="0.25">
      <c r="A51" s="64" t="s">
        <v>2283</v>
      </c>
      <c r="B51" s="101" t="str">
        <f>IF(Q43&lt;&gt;"",TEXT(Q43,"00000"),"")</f>
        <v/>
      </c>
      <c r="C51" s="57">
        <f ca="1">VLOOKUP(A51,DB_TBL_DATA_FIELDS[[FIELD_ID]:[PCT_CALC_FIELD_STATUS_CODE]],22,FALSE)</f>
        <v>-1</v>
      </c>
      <c r="D51" s="57" t="str">
        <f>IF(VLOOKUP(A51,DB_TBL_DATA_FIELDS[[FIELD_ID]:[ERROR_MESSAGE]],23,FALSE)&lt;&gt;0,VLOOKUP(A51,DB_TBL_DATA_FIELDS[[FIELD_ID]:[ERROR_MESSAGE]],23,FALSE),"")</f>
        <v/>
      </c>
      <c r="E51" s="57">
        <f>VLOOKUP(A51,DB_TBL_DATA_FIELDS[[#All],[FIELD_ID]:[RANGE_VALIDATION_MAX]],18,FALSE)</f>
        <v>1</v>
      </c>
      <c r="F51" s="57">
        <f>VLOOKUP(A51,DB_TBL_DATA_FIELDS[[#All],[FIELD_ID]:[RANGE_VALIDATION_MAX]],19,FALSE)</f>
        <v>99999</v>
      </c>
      <c r="G51" s="57" t="str">
        <f t="shared" ca="1" si="2"/>
        <v/>
      </c>
      <c r="I51" s="135"/>
      <c r="J51" s="135"/>
      <c r="K51" s="135"/>
      <c r="L51" s="135"/>
      <c r="M51" s="135"/>
      <c r="N51" s="135"/>
      <c r="O51" s="135"/>
      <c r="P51" s="135"/>
      <c r="Q51" s="286" t="str">
        <f ca="1">D67</f>
        <v/>
      </c>
      <c r="R51" s="286"/>
      <c r="S51" s="286"/>
      <c r="T51" s="286"/>
      <c r="U51" s="286"/>
      <c r="V51" s="286"/>
      <c r="W51" s="286"/>
      <c r="X51" s="135"/>
      <c r="Y51" s="39"/>
    </row>
    <row r="52" spans="1:25" ht="21.95" customHeight="1" x14ac:dyDescent="0.25">
      <c r="A52" s="64" t="s">
        <v>2284</v>
      </c>
      <c r="B52" s="101" t="str">
        <f>IF(AND(U43=0,W43=0),"",IF(U43&lt;&gt;0,TEXT(U43,"0000"),"")&amp;IF(W43&lt;&gt;"","."&amp;TEXT(W43,"00"),""))</f>
        <v/>
      </c>
      <c r="C52" s="57">
        <f ca="1">VLOOKUP(A52,DB_TBL_DATA_FIELDS[[FIELD_ID]:[PCT_CALC_FIELD_STATUS_CODE]],22,FALSE)</f>
        <v>1</v>
      </c>
      <c r="D52" s="57" t="str">
        <f>IF(VLOOKUP(A52,DB_TBL_DATA_FIELDS[[FIELD_ID]:[ERROR_MESSAGE]],23,FALSE)&lt;&gt;0,VLOOKUP(A52,DB_TBL_DATA_FIELDS[[FIELD_ID]:[ERROR_MESSAGE]],23,FALSE),"")</f>
        <v/>
      </c>
      <c r="E52" s="57">
        <f>VLOOKUP(A52,DB_TBL_DATA_FIELDS[[#All],[FIELD_ID]:[RANGE_VALIDATION_MAX]],18,FALSE)</f>
        <v>7</v>
      </c>
      <c r="F52" s="57">
        <f>VLOOKUP(A52,DB_TBL_DATA_FIELDS[[#All],[FIELD_ID]:[RANGE_VALIDATION_MAX]],19,FALSE)</f>
        <v>7</v>
      </c>
      <c r="G52" s="57">
        <f t="shared" ca="1" si="2"/>
        <v>1</v>
      </c>
      <c r="J52"/>
      <c r="L52"/>
      <c r="N52"/>
      <c r="P52"/>
      <c r="Y52" s="39"/>
    </row>
    <row r="53" spans="1:25" ht="21.95" customHeight="1" x14ac:dyDescent="0.25">
      <c r="A53" s="64" t="s">
        <v>124</v>
      </c>
      <c r="B53" s="68" t="str">
        <f>"C"&amp;MATCH(LEFT(A53,LEN(A53)-LEN("_RANGE")),A:A,0)+1&amp;":C"&amp;(ROW()-1)</f>
        <v>C31:C52</v>
      </c>
      <c r="C53" s="57"/>
      <c r="D53" s="57"/>
      <c r="E53" s="57"/>
      <c r="F53" s="57"/>
      <c r="G53" s="57"/>
      <c r="I53" s="282" t="s">
        <v>2410</v>
      </c>
      <c r="J53" s="282"/>
      <c r="K53" s="282"/>
      <c r="L53" s="282"/>
      <c r="M53" s="282"/>
      <c r="N53" s="282"/>
      <c r="O53" s="282"/>
      <c r="P53" s="282"/>
      <c r="Q53" s="282"/>
      <c r="R53" s="282"/>
      <c r="S53" s="282"/>
      <c r="T53" s="136"/>
      <c r="U53" s="136"/>
      <c r="V53" s="39"/>
      <c r="W53" s="43"/>
      <c r="X53" s="55" t="str">
        <f ca="1">G68</f>
        <v/>
      </c>
      <c r="Y53" s="39"/>
    </row>
    <row r="54" spans="1:25" ht="21.95" customHeight="1" x14ac:dyDescent="0.25">
      <c r="A54" s="64" t="s">
        <v>125</v>
      </c>
      <c r="B54" s="68">
        <f ca="1">COUNTIF(INDIRECT($B$53),2)</f>
        <v>0</v>
      </c>
      <c r="C54" s="57"/>
      <c r="D54" s="57"/>
      <c r="E54" s="57"/>
      <c r="F54" s="57"/>
      <c r="G54" s="57"/>
      <c r="I54" s="282"/>
      <c r="J54" s="282"/>
      <c r="K54" s="282"/>
      <c r="L54" s="282"/>
      <c r="M54" s="282"/>
      <c r="N54" s="282"/>
      <c r="O54" s="282"/>
      <c r="P54" s="282"/>
      <c r="Q54" s="282"/>
      <c r="R54" s="282"/>
      <c r="S54" s="282"/>
      <c r="T54" s="136"/>
      <c r="U54" s="136"/>
      <c r="V54"/>
      <c r="X54"/>
      <c r="Y54" s="39"/>
    </row>
    <row r="55" spans="1:25" ht="21.95" customHeight="1" x14ac:dyDescent="0.25">
      <c r="A55" s="64" t="s">
        <v>126</v>
      </c>
      <c r="B55" s="68">
        <f ca="1">COUNTIF(INDIRECT($B$53),0)+COUNTIF(INDIRECT($B$53),1)+COUNTIF(INDIRECT($B$53),2)</f>
        <v>10</v>
      </c>
      <c r="C55" s="57"/>
      <c r="D55" s="57"/>
      <c r="E55" s="57"/>
      <c r="F55" s="57"/>
      <c r="G55" s="57"/>
      <c r="J55"/>
      <c r="L55"/>
      <c r="N55"/>
      <c r="P55"/>
      <c r="R55"/>
      <c r="T55"/>
      <c r="V55"/>
      <c r="X55"/>
      <c r="Y55" s="39"/>
    </row>
    <row r="56" spans="1:25" ht="21.95" customHeight="1" thickBot="1" x14ac:dyDescent="0.3">
      <c r="A56" s="64" t="s">
        <v>127</v>
      </c>
      <c r="B56" s="68">
        <f ca="1">COUNTIF(INDIRECT($B$53),0)</f>
        <v>0</v>
      </c>
      <c r="C56" s="57"/>
      <c r="D56" s="57"/>
      <c r="E56" s="57"/>
      <c r="F56" s="57"/>
      <c r="G56" s="57"/>
      <c r="I56" s="58" t="str">
        <f>B79</f>
        <v>Purchase Property</v>
      </c>
      <c r="J56" s="58"/>
      <c r="K56" s="58"/>
      <c r="L56" s="58"/>
      <c r="M56" s="58"/>
      <c r="N56" s="58"/>
      <c r="O56" s="58"/>
      <c r="P56" s="58"/>
      <c r="Q56" s="58"/>
      <c r="R56" s="58"/>
      <c r="S56" s="58"/>
      <c r="T56" s="58"/>
      <c r="U56" s="58"/>
      <c r="V56" s="58"/>
      <c r="W56" s="58"/>
      <c r="X56" s="59" t="str">
        <f ca="1">"Status: "&amp;$B$97</f>
        <v>Status: Not Started</v>
      </c>
    </row>
    <row r="57" spans="1:25" ht="21.95" customHeight="1" x14ac:dyDescent="0.25">
      <c r="A57" s="64" t="s">
        <v>128</v>
      </c>
      <c r="B57" s="103">
        <f ca="1">IFERROR(B54/B55,1.01)</f>
        <v>0</v>
      </c>
      <c r="C57" s="57"/>
      <c r="D57" s="57"/>
      <c r="E57" s="57"/>
      <c r="F57" s="57"/>
      <c r="G57" s="57"/>
    </row>
    <row r="58" spans="1:25" ht="21.95" customHeight="1" x14ac:dyDescent="0.25">
      <c r="A58" s="64" t="s">
        <v>129</v>
      </c>
      <c r="B58" s="68" t="str">
        <f ca="1">IF(B56&gt;0,"Data Error(s)",IF(B57=0,"Not Started",IF(B57&lt;1,ROUNDUP(B57*100,0)&amp;"% Done",IF(B57&gt;1,"Optional","Complete"))))</f>
        <v>Not Started</v>
      </c>
      <c r="C58" s="57"/>
      <c r="D58" s="57"/>
      <c r="E58" s="57"/>
      <c r="F58" s="57"/>
      <c r="G58" s="57"/>
      <c r="W58" s="230" t="str">
        <f ca="1">$B$100</f>
        <v/>
      </c>
      <c r="X58" s="55" t="str">
        <f ca="1">IF(C100=1,1,"")</f>
        <v/>
      </c>
    </row>
    <row r="59" spans="1:25" ht="21.95" customHeight="1" x14ac:dyDescent="0.25">
      <c r="A59" s="64" t="s">
        <v>130</v>
      </c>
      <c r="B59" s="68" t="str">
        <f ca="1">IF(B56&gt;0,0,IF(B57&lt;1,"",2))</f>
        <v/>
      </c>
      <c r="C59" s="57"/>
      <c r="D59" s="57"/>
      <c r="E59" s="57"/>
      <c r="F59" s="57"/>
      <c r="G59" s="57"/>
      <c r="I59" s="39" t="s">
        <v>2411</v>
      </c>
      <c r="K59" s="39"/>
      <c r="M59" s="39"/>
      <c r="Q59" s="39" t="s">
        <v>51</v>
      </c>
      <c r="S59" s="39"/>
      <c r="U59" s="39" t="s">
        <v>52</v>
      </c>
      <c r="W59" s="39" t="s">
        <v>53</v>
      </c>
    </row>
    <row r="60" spans="1:25" ht="21.95" customHeight="1" x14ac:dyDescent="0.25">
      <c r="A60" s="64" t="s">
        <v>131</v>
      </c>
      <c r="B60" s="102" t="s">
        <v>2384</v>
      </c>
      <c r="C60" s="57"/>
      <c r="D60" s="57"/>
      <c r="E60" s="57"/>
      <c r="F60" s="57"/>
      <c r="G60" s="57"/>
      <c r="I60" s="290"/>
      <c r="J60" s="290"/>
      <c r="K60" s="290"/>
      <c r="L60" s="290"/>
      <c r="M60" s="290"/>
      <c r="N60" s="290"/>
      <c r="O60" s="290"/>
      <c r="P60" s="55">
        <f ca="1">G80</f>
        <v>1</v>
      </c>
      <c r="Q60" s="283"/>
      <c r="R60" s="284"/>
      <c r="S60" s="285"/>
      <c r="T60" s="55">
        <f ca="1">G81</f>
        <v>1</v>
      </c>
      <c r="U60" s="43"/>
      <c r="V60" s="55">
        <f ca="1">G82</f>
        <v>1</v>
      </c>
      <c r="W60" s="131"/>
      <c r="X60" s="55">
        <f ca="1">G83</f>
        <v>1</v>
      </c>
    </row>
    <row r="61" spans="1:25" ht="21.95" customHeight="1" x14ac:dyDescent="0.25">
      <c r="A61" s="80" t="s">
        <v>2853</v>
      </c>
      <c r="B61" s="68" t="str">
        <f ca="1">IF(DATA_FIRST_TIME_HOMEBUYER_FLAG=FALSE,'$DB.CONFIG'!M3,"")</f>
        <v/>
      </c>
      <c r="C61" s="57">
        <f ca="1">IF(B61="",0,1)</f>
        <v>0</v>
      </c>
      <c r="D61" s="57"/>
      <c r="E61" s="57"/>
      <c r="F61" s="57"/>
      <c r="G61" s="57"/>
      <c r="I61" s="39" t="s">
        <v>2927</v>
      </c>
      <c r="K61" s="39"/>
      <c r="M61" s="39" t="s">
        <v>2952</v>
      </c>
      <c r="O61" s="39"/>
      <c r="Q61" s="39" t="s">
        <v>108</v>
      </c>
      <c r="S61" s="39"/>
      <c r="U61" s="39" t="s">
        <v>2202</v>
      </c>
      <c r="W61" s="39"/>
    </row>
    <row r="62" spans="1:25" ht="21.95" customHeight="1" x14ac:dyDescent="0.25">
      <c r="A62" s="80" t="s">
        <v>2167</v>
      </c>
      <c r="B62" s="68">
        <f ca="1">COUNTIF(C61,1)</f>
        <v>0</v>
      </c>
      <c r="C62" s="57"/>
      <c r="D62" s="57"/>
      <c r="E62" s="57"/>
      <c r="F62" s="57"/>
      <c r="G62" s="57"/>
      <c r="I62" s="283"/>
      <c r="J62" s="284"/>
      <c r="K62" s="285"/>
      <c r="L62" s="55">
        <f ca="1">G84</f>
        <v>1</v>
      </c>
      <c r="M62" s="291"/>
      <c r="N62" s="292"/>
      <c r="O62" s="293"/>
      <c r="P62" s="55">
        <f ca="1">G85</f>
        <v>1</v>
      </c>
      <c r="Q62" s="287"/>
      <c r="R62" s="288"/>
      <c r="S62" s="289"/>
      <c r="T62" s="55" t="str">
        <f ca="1">G86</f>
        <v/>
      </c>
      <c r="U62" s="44"/>
      <c r="V62" s="130" t="s">
        <v>109</v>
      </c>
      <c r="W62" s="45"/>
      <c r="X62" s="55">
        <f ca="1">G87</f>
        <v>1</v>
      </c>
    </row>
    <row r="63" spans="1:25" ht="21.95" customHeight="1" x14ac:dyDescent="0.25">
      <c r="A63" s="80" t="s">
        <v>2168</v>
      </c>
      <c r="B63" s="68" t="b">
        <f ca="1">(B62&gt;0)</f>
        <v>0</v>
      </c>
      <c r="C63" s="57"/>
      <c r="D63" s="57"/>
      <c r="E63" s="57"/>
      <c r="F63" s="57"/>
      <c r="G63" s="57"/>
      <c r="I63" s="39"/>
      <c r="J63" s="39"/>
      <c r="K63" s="39"/>
      <c r="L63" s="39"/>
      <c r="M63" s="39"/>
      <c r="N63" s="39"/>
      <c r="O63" s="39"/>
      <c r="P63" s="39"/>
      <c r="Q63" s="39"/>
      <c r="R63" s="39"/>
      <c r="S63" s="39"/>
      <c r="T63" s="39"/>
      <c r="U63" s="39"/>
      <c r="V63" s="39"/>
      <c r="W63" s="39"/>
      <c r="X63" s="39"/>
    </row>
    <row r="64" spans="1:25" ht="21.95" customHeight="1" x14ac:dyDescent="0.25">
      <c r="A64" s="97" t="s">
        <v>144</v>
      </c>
      <c r="B64" s="99" t="s">
        <v>2385</v>
      </c>
      <c r="C64" s="98"/>
      <c r="D64" s="98"/>
      <c r="E64" s="98"/>
      <c r="F64" s="98"/>
      <c r="G64" s="98"/>
      <c r="I64" s="39" t="s">
        <v>191</v>
      </c>
      <c r="J64" s="39"/>
      <c r="K64" s="39"/>
      <c r="L64" s="39"/>
      <c r="M64" s="39" t="s">
        <v>2413</v>
      </c>
      <c r="N64" s="39"/>
      <c r="O64" s="39"/>
      <c r="P64" s="39"/>
      <c r="Q64" s="39" t="s">
        <v>2414</v>
      </c>
      <c r="R64" s="39"/>
      <c r="S64" s="39"/>
      <c r="T64" s="39"/>
      <c r="U64" s="39" t="s">
        <v>2412</v>
      </c>
      <c r="V64" s="39"/>
      <c r="W64" s="39"/>
      <c r="X64" s="39"/>
    </row>
    <row r="65" spans="1:24" ht="21.95" customHeight="1" x14ac:dyDescent="0.25">
      <c r="A65" s="64" t="s">
        <v>2309</v>
      </c>
      <c r="B65" s="101" t="str">
        <f>IF(U48&lt;&gt;"",U48,"")</f>
        <v/>
      </c>
      <c r="C65" s="57">
        <f ca="1">VLOOKUP(A65,DB_TBL_DATA_FIELDS[[FIELD_ID]:[PCT_CALC_FIELD_STATUS_CODE]],22,FALSE)</f>
        <v>1</v>
      </c>
      <c r="D65" s="57" t="str">
        <f>IF(VLOOKUP(A65,DB_TBL_DATA_FIELDS[[FIELD_ID]:[ERROR_MESSAGE]],23,FALSE)&lt;&gt;0,VLOOKUP(A65,DB_TBL_DATA_FIELDS[[FIELD_ID]:[ERROR_MESSAGE]],23,FALSE),"")</f>
        <v/>
      </c>
      <c r="E65" s="57">
        <f>VLOOKUP(A65,DB_TBL_DATA_FIELDS[[#All],[FIELD_ID]:[RANGE_VALIDATION_MAX]],18,FALSE)</f>
        <v>1</v>
      </c>
      <c r="F65" s="57">
        <f>VLOOKUP(A65,DB_TBL_DATA_FIELDS[[#All],[FIELD_ID]:[RANGE_VALIDATION_MAX]],19,FALSE)</f>
        <v>9500</v>
      </c>
      <c r="G65" s="57">
        <f t="shared" ref="G65" ca="1" si="3">IF(C65&lt;0,"",C65)</f>
        <v>1</v>
      </c>
      <c r="I65" s="301"/>
      <c r="J65" s="301"/>
      <c r="K65" s="301"/>
      <c r="L65" s="55">
        <f ca="1">G89</f>
        <v>1</v>
      </c>
      <c r="M65" s="300"/>
      <c r="N65" s="300"/>
      <c r="O65" s="300"/>
      <c r="P65" s="55">
        <f ca="1">G90</f>
        <v>1</v>
      </c>
      <c r="Q65" s="297"/>
      <c r="R65" s="298"/>
      <c r="S65" s="299"/>
      <c r="T65" s="55">
        <f ca="1">G88</f>
        <v>1</v>
      </c>
      <c r="U65" s="297"/>
      <c r="V65" s="298"/>
      <c r="W65" s="299"/>
      <c r="X65" s="55">
        <f ca="1">G91</f>
        <v>1</v>
      </c>
    </row>
    <row r="66" spans="1:24" ht="21.95" customHeight="1" x14ac:dyDescent="0.25">
      <c r="A66" s="64" t="s">
        <v>2310</v>
      </c>
      <c r="B66" s="101" t="str">
        <f>IF(U49&lt;&gt;"",U49,"")</f>
        <v/>
      </c>
      <c r="C66" s="57">
        <f ca="1">VLOOKUP(A66,DB_TBL_DATA_FIELDS[[FIELD_ID]:[PCT_CALC_FIELD_STATUS_CODE]],22,FALSE)</f>
        <v>1</v>
      </c>
      <c r="D66" s="57" t="str">
        <f>IF(VLOOKUP(A66,DB_TBL_DATA_FIELDS[[FIELD_ID]:[ERROR_MESSAGE]],23,FALSE)&lt;&gt;0,VLOOKUP(A66,DB_TBL_DATA_FIELDS[[FIELD_ID]:[ERROR_MESSAGE]],23,FALSE),"")</f>
        <v/>
      </c>
      <c r="E66" s="57">
        <f>VLOOKUP(A66,DB_TBL_DATA_FIELDS[[#All],[FIELD_ID]:[RANGE_VALIDATION_MAX]],18,FALSE)</f>
        <v>0</v>
      </c>
      <c r="F66" s="57">
        <f>VLOOKUP(A66,DB_TBL_DATA_FIELDS[[#All],[FIELD_ID]:[RANGE_VALIDATION_MAX]],19,FALSE)</f>
        <v>500</v>
      </c>
      <c r="G66" s="57">
        <f t="shared" ref="G66:G68" ca="1" si="4">IF(C66&lt;0,"",C66)</f>
        <v>1</v>
      </c>
      <c r="I66" s="39"/>
      <c r="J66" s="39"/>
      <c r="K66" s="39"/>
      <c r="L66" s="39"/>
      <c r="M66" s="39"/>
      <c r="N66" s="39"/>
      <c r="O66" s="39"/>
      <c r="P66" s="39"/>
      <c r="Q66" s="39"/>
      <c r="R66" s="39"/>
      <c r="S66" s="39"/>
      <c r="T66" s="39"/>
      <c r="U66" s="39"/>
      <c r="V66" s="39"/>
      <c r="W66" s="39"/>
      <c r="X66" s="39"/>
    </row>
    <row r="67" spans="1:24" ht="21.95" customHeight="1" thickBot="1" x14ac:dyDescent="0.3">
      <c r="A67" s="64" t="s">
        <v>2311</v>
      </c>
      <c r="B67" s="68">
        <f ca="1">VLOOKUP(A67,DB_TBL_DATA_FIELDS[[#All],[FIELD_ID]:[FIELD_VALUE_RAW]],5,FALSE)</f>
        <v>0</v>
      </c>
      <c r="C67" s="57" t="str">
        <f ca="1">VLOOKUP(A67,DB_TBL_DATA_FIELDS[[FIELD_ID]:[PCT_CALC_FIELD_STATUS_CODE]],22,FALSE)</f>
        <v/>
      </c>
      <c r="D67" s="57" t="str">
        <f ca="1">IF(VLOOKUP(A67,DB_TBL_DATA_FIELDS[[FIELD_ID]:[ERROR_MESSAGE]],23,FALSE)&lt;&gt;0,VLOOKUP(A67,DB_TBL_DATA_FIELDS[[FIELD_ID]:[ERROR_MESSAGE]],23,FALSE),"")</f>
        <v/>
      </c>
      <c r="E67" s="57">
        <f>VLOOKUP(A67,DB_TBL_DATA_FIELDS[[#All],[FIELD_ID]:[RANGE_VALIDATION_MAX]],18,FALSE)</f>
        <v>0</v>
      </c>
      <c r="F67" s="57">
        <f>VLOOKUP(A67,DB_TBL_DATA_FIELDS[[#All],[FIELD_ID]:[RANGE_VALIDATION_MAX]],19,FALSE)</f>
        <v>10000</v>
      </c>
      <c r="G67" s="57" t="str">
        <f t="shared" ca="1" si="4"/>
        <v/>
      </c>
      <c r="I67" s="58" t="str">
        <f>B103</f>
        <v>Household Qualification</v>
      </c>
      <c r="J67" s="58"/>
      <c r="K67" s="58"/>
      <c r="L67" s="58"/>
      <c r="M67" s="58"/>
      <c r="N67" s="58"/>
      <c r="O67" s="58"/>
      <c r="P67" s="58"/>
      <c r="Q67" s="58"/>
      <c r="R67" s="58"/>
      <c r="S67" s="58"/>
      <c r="T67" s="58"/>
      <c r="U67" s="58"/>
      <c r="V67" s="58"/>
      <c r="W67" s="58"/>
      <c r="X67" s="59" t="str">
        <f ca="1">"Status: "&amp;$B$120</f>
        <v>Status: Not Started</v>
      </c>
    </row>
    <row r="68" spans="1:24" ht="21.95" customHeight="1" x14ac:dyDescent="0.25">
      <c r="A68" s="64" t="s">
        <v>2377</v>
      </c>
      <c r="B68" s="101" t="str">
        <f>IF(W53="","",IF(UPPER(W53)="YES",TRUE,FALSE))</f>
        <v/>
      </c>
      <c r="C68" s="57">
        <f ca="1">VLOOKUP(A68,DB_TBL_DATA_FIELDS[[FIELD_ID]:[PCT_CALC_FIELD_STATUS_CODE]],22,FALSE)</f>
        <v>-1</v>
      </c>
      <c r="D68" s="57" t="str">
        <f>IF(VLOOKUP(A68,DB_TBL_DATA_FIELDS[[FIELD_ID]:[ERROR_MESSAGE]],23,FALSE)&lt;&gt;0,VLOOKUP(A68,DB_TBL_DATA_FIELDS[[FIELD_ID]:[ERROR_MESSAGE]],23,FALSE),"")</f>
        <v/>
      </c>
      <c r="E68" s="57">
        <f>VLOOKUP(A68,DB_TBL_DATA_FIELDS[[#All],[FIELD_ID]:[RANGE_VALIDATION_MAX]],18,FALSE)</f>
        <v>0</v>
      </c>
      <c r="F68" s="57">
        <f>VLOOKUP(A68,DB_TBL_DATA_FIELDS[[#All],[FIELD_ID]:[RANGE_VALIDATION_MAX]],19,FALSE)</f>
        <v>0</v>
      </c>
      <c r="G68" s="57" t="str">
        <f t="shared" ca="1" si="4"/>
        <v/>
      </c>
    </row>
    <row r="69" spans="1:24" ht="21.95" customHeight="1" thickBot="1" x14ac:dyDescent="0.3">
      <c r="A69" s="64" t="s">
        <v>145</v>
      </c>
      <c r="B69" s="68" t="str">
        <f>"C"&amp;MATCH(LEFT(A69,LEN(A69)-LEN("_RANGE")),A:A,0)+1&amp;":C"&amp;(ROW()-1)</f>
        <v>C65:C68</v>
      </c>
      <c r="C69" s="57"/>
      <c r="D69" s="57"/>
      <c r="E69" s="57"/>
      <c r="F69" s="57"/>
      <c r="G69" s="57"/>
      <c r="I69" s="67" t="s">
        <v>2615</v>
      </c>
      <c r="J69" s="140"/>
      <c r="K69" s="141"/>
      <c r="L69" s="140"/>
      <c r="M69" s="141"/>
      <c r="N69" s="140"/>
      <c r="O69" s="141"/>
      <c r="P69" s="140"/>
      <c r="Q69" s="141"/>
      <c r="R69" s="140"/>
      <c r="S69" s="141"/>
      <c r="T69" s="140"/>
      <c r="U69" s="141"/>
      <c r="V69" s="140"/>
      <c r="W69" s="141"/>
      <c r="X69" s="140"/>
    </row>
    <row r="70" spans="1:24" ht="21.95" customHeight="1" thickTop="1" x14ac:dyDescent="0.25">
      <c r="A70" s="64" t="s">
        <v>146</v>
      </c>
      <c r="B70" s="68">
        <f ca="1">COUNTIF(INDIRECT($B69),2)</f>
        <v>0</v>
      </c>
      <c r="C70" s="57"/>
      <c r="D70" s="57"/>
      <c r="E70" s="57"/>
      <c r="F70" s="57"/>
      <c r="G70" s="57"/>
    </row>
    <row r="71" spans="1:24" ht="21.95" customHeight="1" x14ac:dyDescent="0.25">
      <c r="A71" s="64" t="s">
        <v>147</v>
      </c>
      <c r="B71" s="68">
        <f ca="1">COUNTIF(INDIRECT($B69),0)+COUNTIF(INDIRECT($B69),1)+COUNTIF(INDIRECT($B69),2)</f>
        <v>2</v>
      </c>
      <c r="C71" s="57"/>
      <c r="D71" s="57"/>
      <c r="E71" s="57"/>
      <c r="F71" s="57"/>
      <c r="G71" s="57"/>
      <c r="I71" s="39" t="s">
        <v>2760</v>
      </c>
      <c r="L71" s="132"/>
      <c r="S71" s="167"/>
      <c r="U71" s="39" t="s">
        <v>2616</v>
      </c>
    </row>
    <row r="72" spans="1:24" ht="21.95" customHeight="1" x14ac:dyDescent="0.25">
      <c r="A72" s="64" t="s">
        <v>148</v>
      </c>
      <c r="B72" s="68">
        <f ca="1">COUNTIF(INDIRECT($B69),0)</f>
        <v>0</v>
      </c>
      <c r="C72" s="57"/>
      <c r="D72" s="57"/>
      <c r="E72" s="57"/>
      <c r="F72" s="57"/>
      <c r="G72" s="57"/>
      <c r="I72" s="283"/>
      <c r="J72" s="284"/>
      <c r="K72" s="284"/>
      <c r="L72" s="284"/>
      <c r="M72" s="284"/>
      <c r="N72" s="284"/>
      <c r="O72" s="284"/>
      <c r="P72" s="284"/>
      <c r="Q72" s="284"/>
      <c r="R72" s="284"/>
      <c r="S72" s="285"/>
      <c r="T72" s="55">
        <f ca="1">G111</f>
        <v>1</v>
      </c>
      <c r="U72" s="294"/>
      <c r="V72" s="295"/>
      <c r="W72" s="296"/>
      <c r="X72" s="55">
        <f ca="1">G114</f>
        <v>1</v>
      </c>
    </row>
    <row r="73" spans="1:24" ht="21.95" customHeight="1" x14ac:dyDescent="0.25">
      <c r="A73" s="64" t="s">
        <v>149</v>
      </c>
      <c r="B73" s="103">
        <f ca="1">IFERROR(B70/B71,1.01)</f>
        <v>0</v>
      </c>
      <c r="C73" s="57"/>
      <c r="D73" s="57"/>
      <c r="E73" s="57"/>
      <c r="F73" s="57"/>
      <c r="G73" s="57"/>
      <c r="I73" s="39" t="s">
        <v>2759</v>
      </c>
      <c r="R73" s="174"/>
      <c r="S73" s="174"/>
      <c r="T73" s="174"/>
      <c r="U73" s="302" t="str">
        <f ca="1">D114</f>
        <v/>
      </c>
      <c r="V73" s="302"/>
      <c r="W73" s="302"/>
      <c r="X73"/>
    </row>
    <row r="74" spans="1:24" ht="21.95" customHeight="1" x14ac:dyDescent="0.25">
      <c r="A74" s="64" t="s">
        <v>150</v>
      </c>
      <c r="B74" s="68" t="str">
        <f ca="1">IF(B72&gt;0,"Data Error(s)",IF(B73=0,"Not Started",IF(B73&lt;1,ROUNDUP(B73*100,0)&amp;"% Done",IF(B73&gt;1,"Optional","Complete"))))</f>
        <v>Not Started</v>
      </c>
      <c r="C74" s="57"/>
      <c r="D74" s="57"/>
      <c r="E74" s="57"/>
      <c r="F74" s="57"/>
      <c r="G74" s="57"/>
      <c r="I74" s="283"/>
      <c r="J74" s="284"/>
      <c r="K74" s="284"/>
      <c r="L74" s="284"/>
      <c r="M74" s="284"/>
      <c r="N74" s="284"/>
      <c r="O74" s="284"/>
      <c r="P74" s="284"/>
      <c r="Q74" s="284"/>
      <c r="R74" s="284"/>
      <c r="S74" s="285"/>
      <c r="T74" s="55" t="str">
        <f ca="1">G112</f>
        <v/>
      </c>
      <c r="U74" s="303"/>
      <c r="V74" s="303"/>
      <c r="W74" s="303"/>
    </row>
    <row r="75" spans="1:24" ht="21.95" customHeight="1" x14ac:dyDescent="0.25">
      <c r="A75" s="64" t="s">
        <v>151</v>
      </c>
      <c r="B75" s="68" t="str">
        <f ca="1">IF(B72&gt;0,0,IF(B73&lt;1,"",2))</f>
        <v/>
      </c>
      <c r="C75" s="57"/>
      <c r="D75" s="57"/>
      <c r="E75" s="57"/>
      <c r="F75" s="57"/>
      <c r="G75" s="57"/>
    </row>
    <row r="76" spans="1:24" ht="21.95" customHeight="1" thickBot="1" x14ac:dyDescent="0.3">
      <c r="A76" s="64" t="s">
        <v>152</v>
      </c>
      <c r="B76" s="102" t="s">
        <v>2385</v>
      </c>
      <c r="C76" s="57"/>
      <c r="D76" s="57"/>
      <c r="E76" s="57"/>
      <c r="F76" s="57"/>
      <c r="G76" s="57"/>
      <c r="I76" s="67" t="s">
        <v>2416</v>
      </c>
      <c r="J76" s="140"/>
      <c r="K76" s="141"/>
      <c r="L76" s="142"/>
      <c r="M76" s="141"/>
      <c r="N76" s="140"/>
      <c r="O76" s="141"/>
      <c r="P76" s="140"/>
      <c r="Q76" s="141"/>
      <c r="R76" s="140"/>
      <c r="S76" s="141"/>
      <c r="T76" s="141"/>
      <c r="U76" s="141"/>
      <c r="V76" s="141"/>
      <c r="W76" s="169" t="str">
        <f ca="1">$B$123</f>
        <v/>
      </c>
      <c r="X76" s="143" t="str">
        <f ca="1">IF(C123=1,1,"")</f>
        <v/>
      </c>
    </row>
    <row r="77" spans="1:24" ht="21.95" customHeight="1" thickTop="1" x14ac:dyDescent="0.25">
      <c r="A77" s="80" t="s">
        <v>2165</v>
      </c>
      <c r="B77" s="68">
        <v>0</v>
      </c>
      <c r="C77" s="57"/>
      <c r="D77" s="57"/>
      <c r="E77" s="57"/>
      <c r="F77" s="57"/>
      <c r="G77" s="57"/>
      <c r="I77" s="338" t="s">
        <v>2931</v>
      </c>
      <c r="J77" s="338"/>
      <c r="K77" s="338"/>
      <c r="L77" s="338"/>
      <c r="M77" s="338"/>
      <c r="N77" s="338"/>
      <c r="O77" s="338"/>
      <c r="P77" s="338"/>
      <c r="Q77" s="338"/>
      <c r="R77" s="338"/>
      <c r="S77" s="338"/>
      <c r="T77" s="338"/>
      <c r="U77" s="338"/>
      <c r="V77" s="338"/>
      <c r="W77" s="338"/>
      <c r="X77" s="338"/>
    </row>
    <row r="78" spans="1:24" ht="21.95" customHeight="1" x14ac:dyDescent="0.25">
      <c r="A78" s="80" t="s">
        <v>2166</v>
      </c>
      <c r="B78" s="68" t="b">
        <f>(B77&gt;0)</f>
        <v>0</v>
      </c>
      <c r="C78" s="57"/>
      <c r="D78" s="57"/>
      <c r="E78" s="57"/>
      <c r="F78" s="57"/>
      <c r="G78" s="57"/>
      <c r="I78" s="338"/>
      <c r="J78" s="338"/>
      <c r="K78" s="338"/>
      <c r="L78" s="338"/>
      <c r="M78" s="338"/>
      <c r="N78" s="338"/>
      <c r="O78" s="338"/>
      <c r="P78" s="338"/>
      <c r="Q78" s="338"/>
      <c r="R78" s="338"/>
      <c r="S78" s="338"/>
      <c r="T78" s="338"/>
      <c r="U78" s="338"/>
      <c r="V78" s="338"/>
      <c r="W78" s="338"/>
      <c r="X78" s="338"/>
    </row>
    <row r="79" spans="1:24" ht="21.95" customHeight="1" x14ac:dyDescent="0.25">
      <c r="A79" s="97" t="s">
        <v>155</v>
      </c>
      <c r="B79" s="99" t="s">
        <v>2386</v>
      </c>
      <c r="C79" s="98"/>
      <c r="D79" s="98"/>
      <c r="E79" s="98"/>
      <c r="F79" s="98"/>
      <c r="G79" s="98"/>
      <c r="J79"/>
      <c r="L79"/>
      <c r="N79"/>
      <c r="P79"/>
      <c r="R79"/>
      <c r="T79"/>
      <c r="V79"/>
      <c r="X79"/>
    </row>
    <row r="80" spans="1:24" ht="21.95" customHeight="1" x14ac:dyDescent="0.25">
      <c r="A80" s="64" t="s">
        <v>2319</v>
      </c>
      <c r="B80" s="101" t="str">
        <f>IF(I60&lt;&gt;"",I60,"")</f>
        <v/>
      </c>
      <c r="C80" s="57">
        <f ca="1">VLOOKUP(A80,DB_TBL_DATA_FIELDS[[FIELD_ID]:[PCT_CALC_FIELD_STATUS_CODE]],22,FALSE)</f>
        <v>1</v>
      </c>
      <c r="D80" s="57" t="str">
        <f>IF(VLOOKUP(A80,DB_TBL_DATA_FIELDS[[FIELD_ID]:[ERROR_MESSAGE]],23,FALSE)&lt;&gt;0,VLOOKUP(A80,DB_TBL_DATA_FIELDS[[FIELD_ID]:[ERROR_MESSAGE]],23,FALSE),"")</f>
        <v/>
      </c>
      <c r="E80" s="57">
        <f>VLOOKUP(A80,DB_TBL_DATA_FIELDS[[#All],[FIELD_ID]:[RANGE_VALIDATION_MAX]],18,FALSE)</f>
        <v>0</v>
      </c>
      <c r="F80" s="57">
        <f>VLOOKUP(A80,DB_TBL_DATA_FIELDS[[#All],[FIELD_ID]:[RANGE_VALIDATION_MAX]],19,FALSE)</f>
        <v>75</v>
      </c>
      <c r="G80" s="57">
        <f t="shared" ref="G80" ca="1" si="5">IF(C80&lt;0,"",C80)</f>
        <v>1</v>
      </c>
      <c r="J80"/>
      <c r="L80"/>
      <c r="N80"/>
      <c r="P80"/>
      <c r="R80"/>
      <c r="T80"/>
      <c r="V80"/>
      <c r="X80"/>
    </row>
    <row r="81" spans="1:25" ht="21.95" customHeight="1" x14ac:dyDescent="0.25">
      <c r="A81" s="64" t="s">
        <v>2320</v>
      </c>
      <c r="B81" s="101" t="str">
        <f>IF(Q60&lt;&gt;"",Q60,"")</f>
        <v/>
      </c>
      <c r="C81" s="57">
        <f ca="1">VLOOKUP(A81,DB_TBL_DATA_FIELDS[[FIELD_ID]:[PCT_CALC_FIELD_STATUS_CODE]],22,FALSE)</f>
        <v>1</v>
      </c>
      <c r="D81" s="57" t="str">
        <f>IF(VLOOKUP(A81,DB_TBL_DATA_FIELDS[[FIELD_ID]:[ERROR_MESSAGE]],23,FALSE)&lt;&gt;0,VLOOKUP(A81,DB_TBL_DATA_FIELDS[[FIELD_ID]:[ERROR_MESSAGE]],23,FALSE),"")</f>
        <v/>
      </c>
      <c r="E81" s="57">
        <f>VLOOKUP(A81,DB_TBL_DATA_FIELDS[[#All],[FIELD_ID]:[RANGE_VALIDATION_MAX]],18,FALSE)</f>
        <v>0</v>
      </c>
      <c r="F81" s="57">
        <f>VLOOKUP(A81,DB_TBL_DATA_FIELDS[[#All],[FIELD_ID]:[RANGE_VALIDATION_MAX]],19,FALSE)</f>
        <v>30</v>
      </c>
      <c r="G81" s="57">
        <f t="shared" ref="G81:G91" ca="1" si="6">IF(C81&lt;0,"",C81)</f>
        <v>1</v>
      </c>
      <c r="I81" s="339" t="s">
        <v>2415</v>
      </c>
      <c r="J81" s="339"/>
      <c r="K81" s="339"/>
      <c r="L81" s="339"/>
      <c r="M81" s="339"/>
      <c r="N81" s="339"/>
      <c r="O81" s="339"/>
      <c r="P81" s="339"/>
      <c r="Q81" s="339"/>
      <c r="R81" s="339"/>
      <c r="S81" s="339"/>
      <c r="T81" s="339"/>
      <c r="U81" s="339"/>
      <c r="V81" s="339"/>
      <c r="W81" s="339"/>
      <c r="X81" s="339"/>
    </row>
    <row r="82" spans="1:25" ht="21.95" customHeight="1" x14ac:dyDescent="0.25">
      <c r="A82" s="64" t="s">
        <v>2321</v>
      </c>
      <c r="B82" s="101" t="str">
        <f>IF(U60&lt;&gt;"",U60,"")</f>
        <v/>
      </c>
      <c r="C82" s="57">
        <f ca="1">VLOOKUP(A82,DB_TBL_DATA_FIELDS[[FIELD_ID]:[PCT_CALC_FIELD_STATUS_CODE]],22,FALSE)</f>
        <v>1</v>
      </c>
      <c r="D82" s="57" t="str">
        <f>IF(VLOOKUP(A82,DB_TBL_DATA_FIELDS[[FIELD_ID]:[ERROR_MESSAGE]],23,FALSE)&lt;&gt;0,VLOOKUP(A82,DB_TBL_DATA_FIELDS[[FIELD_ID]:[ERROR_MESSAGE]],23,FALSE),"")</f>
        <v/>
      </c>
      <c r="E82" s="57">
        <f>VLOOKUP(A82,DB_TBL_DATA_FIELDS[[#All],[FIELD_ID]:[RANGE_VALIDATION_MAX]],18,FALSE)</f>
        <v>0</v>
      </c>
      <c r="F82" s="57">
        <f>VLOOKUP(A82,DB_TBL_DATA_FIELDS[[#All],[FIELD_ID]:[RANGE_VALIDATION_MAX]],19,FALSE)</f>
        <v>2</v>
      </c>
      <c r="G82" s="57">
        <f t="shared" ca="1" si="6"/>
        <v>1</v>
      </c>
      <c r="H82" s="228"/>
      <c r="J82"/>
      <c r="L82"/>
      <c r="M82" s="137"/>
      <c r="N82" s="138"/>
      <c r="O82" s="138"/>
      <c r="P82" s="138"/>
      <c r="Q82" s="138"/>
      <c r="R82" s="138"/>
      <c r="S82" s="139"/>
      <c r="T82" s="55">
        <f ca="1">G105</f>
        <v>1</v>
      </c>
      <c r="V82"/>
      <c r="X82"/>
    </row>
    <row r="83" spans="1:25" ht="21.95" customHeight="1" x14ac:dyDescent="0.25">
      <c r="A83" s="64" t="s">
        <v>2322</v>
      </c>
      <c r="B83" s="101" t="str">
        <f>IF(W60&lt;&gt;"",TEXT(W60,"00000"),"")</f>
        <v/>
      </c>
      <c r="C83" s="57">
        <f ca="1">VLOOKUP(A83,DB_TBL_DATA_FIELDS[[FIELD_ID]:[PCT_CALC_FIELD_STATUS_CODE]],22,FALSE)</f>
        <v>1</v>
      </c>
      <c r="D83" s="57" t="str">
        <f>IF(VLOOKUP(A83,DB_TBL_DATA_FIELDS[[FIELD_ID]:[ERROR_MESSAGE]],23,FALSE)&lt;&gt;0,VLOOKUP(A83,DB_TBL_DATA_FIELDS[[FIELD_ID]:[ERROR_MESSAGE]],23,FALSE),"")</f>
        <v/>
      </c>
      <c r="E83" s="57">
        <f>VLOOKUP(A83,DB_TBL_DATA_FIELDS[[#All],[FIELD_ID]:[RANGE_VALIDATION_MAX]],18,FALSE)</f>
        <v>5</v>
      </c>
      <c r="F83" s="57">
        <f>VLOOKUP(A83,DB_TBL_DATA_FIELDS[[#All],[FIELD_ID]:[RANGE_VALIDATION_MAX]],19,FALSE)</f>
        <v>10</v>
      </c>
      <c r="G83" s="57">
        <f t="shared" ca="1" si="6"/>
        <v>1</v>
      </c>
      <c r="J83" s="174"/>
      <c r="K83" s="174"/>
      <c r="L83" s="174"/>
      <c r="M83" s="325" t="str">
        <f ca="1">D105</f>
        <v/>
      </c>
      <c r="N83" s="325"/>
      <c r="O83" s="325"/>
      <c r="P83" s="325"/>
      <c r="Q83" s="325"/>
      <c r="R83" s="325"/>
      <c r="S83" s="325"/>
      <c r="T83" s="174"/>
      <c r="U83" s="174"/>
      <c r="V83" s="174"/>
      <c r="W83" s="174"/>
      <c r="X83" s="174"/>
    </row>
    <row r="84" spans="1:25" ht="21.95" customHeight="1" x14ac:dyDescent="0.25">
      <c r="A84" s="64" t="s">
        <v>2323</v>
      </c>
      <c r="B84" s="101" t="str">
        <f>IF(I62&lt;&gt;"",I62,"")</f>
        <v/>
      </c>
      <c r="C84" s="57">
        <f ca="1">VLOOKUP(A84,DB_TBL_DATA_FIELDS[[FIELD_ID]:[PCT_CALC_FIELD_STATUS_CODE]],22,FALSE)</f>
        <v>1</v>
      </c>
      <c r="D84" s="57" t="str">
        <f>IF(VLOOKUP(A84,DB_TBL_DATA_FIELDS[[FIELD_ID]:[ERROR_MESSAGE]],23,FALSE)&lt;&gt;0,VLOOKUP(A84,DB_TBL_DATA_FIELDS[[FIELD_ID]:[ERROR_MESSAGE]],23,FALSE),"")</f>
        <v/>
      </c>
      <c r="E84" s="57">
        <f>VLOOKUP(A84,DB_TBL_DATA_FIELDS[[#All],[FIELD_ID]:[RANGE_VALIDATION_MAX]],18,FALSE)</f>
        <v>0</v>
      </c>
      <c r="F84" s="57">
        <f>VLOOKUP(A84,DB_TBL_DATA_FIELDS[[#All],[FIELD_ID]:[RANGE_VALIDATION_MAX]],19,FALSE)</f>
        <v>50</v>
      </c>
      <c r="G84" s="57">
        <f t="shared" ca="1" si="6"/>
        <v>1</v>
      </c>
      <c r="I84" s="39" t="s">
        <v>2353</v>
      </c>
      <c r="M84" s="119" t="s">
        <v>2416</v>
      </c>
      <c r="N84" s="119"/>
      <c r="O84" s="119"/>
      <c r="P84" s="39"/>
      <c r="Q84" s="39" t="s">
        <v>2418</v>
      </c>
      <c r="U84" s="39" t="s">
        <v>2417</v>
      </c>
      <c r="X84"/>
    </row>
    <row r="85" spans="1:25" ht="21.95" customHeight="1" x14ac:dyDescent="0.25">
      <c r="A85" s="64" t="s">
        <v>2949</v>
      </c>
      <c r="B85" s="101" t="str">
        <f>IF(M62&lt;&gt;"",TEXT(M62,"000"),"")</f>
        <v/>
      </c>
      <c r="C85" s="57">
        <f ca="1">VLOOKUP(A85,DB_TBL_DATA_FIELDS[[FIELD_ID]:[PCT_CALC_FIELD_STATUS_CODE]],22,FALSE)</f>
        <v>1</v>
      </c>
      <c r="D85" s="57" t="str">
        <f ca="1">IF(VLOOKUP(A85,DB_TBL_DATA_FIELDS[[FIELD_ID]:[ERROR_MESSAGE]],23,FALSE)&lt;&gt;0,VLOOKUP(A85,DB_TBL_DATA_FIELDS[[FIELD_ID]:[ERROR_MESSAGE]],23,FALSE),"")</f>
        <v/>
      </c>
      <c r="E85" s="57">
        <f>VLOOKUP(A85,DB_TBL_DATA_FIELDS[[#All],[FIELD_ID]:[RANGE_VALIDATION_MAX]],18,FALSE)</f>
        <v>1</v>
      </c>
      <c r="F85" s="57">
        <f>VLOOKUP(A85,DB_TBL_DATA_FIELDS[[#All],[FIELD_ID]:[RANGE_VALIDATION_MAX]],19,FALSE)</f>
        <v>3</v>
      </c>
      <c r="G85" s="57">
        <f t="shared" ref="G85" ca="1" si="7">IF(C85&lt;0,"",C85)</f>
        <v>1</v>
      </c>
      <c r="I85" s="335" t="str">
        <f>IF(ICW_HOUSEHOLD_SIZE&lt;&gt;"",IF(VALUE(ICW_HOUSEHOLD_SIZE)&gt;0,ICW_HOUSEHOLD_SIZE,""),"")</f>
        <v/>
      </c>
      <c r="J85" s="336"/>
      <c r="K85" s="337"/>
      <c r="L85" s="55">
        <f ca="1">G107</f>
        <v>1</v>
      </c>
      <c r="M85" s="329" t="str">
        <f>IF(VALUE(ICW_TOTAL_INCOME)&gt;0,ICW_TOTAL_INCOME,"")</f>
        <v/>
      </c>
      <c r="N85" s="330"/>
      <c r="O85" s="331"/>
      <c r="P85" s="55">
        <f ca="1">G109</f>
        <v>1</v>
      </c>
      <c r="Q85" s="329" t="str">
        <f ca="1">B108</f>
        <v/>
      </c>
      <c r="R85" s="330"/>
      <c r="S85" s="331"/>
      <c r="T85" s="55">
        <f ca="1">G108</f>
        <v>1</v>
      </c>
      <c r="U85" s="332" t="str">
        <f ca="1">B110</f>
        <v/>
      </c>
      <c r="V85" s="333"/>
      <c r="W85" s="334"/>
      <c r="X85" s="55">
        <f ca="1">G110</f>
        <v>1</v>
      </c>
    </row>
    <row r="86" spans="1:25" ht="21.95" customHeight="1" x14ac:dyDescent="0.25">
      <c r="A86" s="64" t="s">
        <v>2324</v>
      </c>
      <c r="B86" s="101" t="str">
        <f>IF(Q62&lt;&gt;"",TEXT(Q62,"00000"),"")</f>
        <v/>
      </c>
      <c r="C86" s="57">
        <f ca="1">VLOOKUP(A86,DB_TBL_DATA_FIELDS[[FIELD_ID]:[PCT_CALC_FIELD_STATUS_CODE]],22,FALSE)</f>
        <v>-1</v>
      </c>
      <c r="D86" s="57" t="str">
        <f>IF(VLOOKUP(A86,DB_TBL_DATA_FIELDS[[FIELD_ID]:[ERROR_MESSAGE]],23,FALSE)&lt;&gt;0,VLOOKUP(A86,DB_TBL_DATA_FIELDS[[FIELD_ID]:[ERROR_MESSAGE]],23,FALSE),"")</f>
        <v/>
      </c>
      <c r="E86" s="57">
        <f>VLOOKUP(A86,DB_TBL_DATA_FIELDS[[#All],[FIELD_ID]:[RANGE_VALIDATION_MAX]],18,FALSE)</f>
        <v>1</v>
      </c>
      <c r="F86" s="57">
        <f>VLOOKUP(A86,DB_TBL_DATA_FIELDS[[#All],[FIELD_ID]:[RANGE_VALIDATION_MAX]],19,FALSE)</f>
        <v>99999</v>
      </c>
      <c r="G86" s="57" t="str">
        <f t="shared" ca="1" si="6"/>
        <v/>
      </c>
      <c r="H86" s="268"/>
      <c r="I86" s="268"/>
      <c r="J86" s="268"/>
      <c r="K86" s="268"/>
      <c r="L86" s="268"/>
      <c r="M86" s="268"/>
      <c r="N86" s="268"/>
      <c r="O86" s="268"/>
      <c r="P86" s="268"/>
      <c r="Q86" s="268"/>
      <c r="R86" s="268"/>
      <c r="S86" s="268"/>
      <c r="T86" s="268"/>
      <c r="U86" s="268"/>
      <c r="V86" s="268"/>
      <c r="W86" s="268"/>
      <c r="X86" s="268"/>
      <c r="Y86" s="268"/>
    </row>
    <row r="87" spans="1:25" ht="21.95" customHeight="1" thickBot="1" x14ac:dyDescent="0.3">
      <c r="A87" s="64" t="s">
        <v>2325</v>
      </c>
      <c r="B87" s="101" t="str">
        <f>IF(AND(U62=0,W62=0),"",IF(U62&lt;&gt;0,TEXT(U62,"0000"),"")&amp;IF(W62&lt;&gt;"","."&amp;TEXT(W62,"00"),""))</f>
        <v/>
      </c>
      <c r="C87" s="57">
        <f ca="1">VLOOKUP(A87,DB_TBL_DATA_FIELDS[[FIELD_ID]:[PCT_CALC_FIELD_STATUS_CODE]],22,FALSE)</f>
        <v>1</v>
      </c>
      <c r="D87" s="57" t="str">
        <f>IF(VLOOKUP(A87,DB_TBL_DATA_FIELDS[[FIELD_ID]:[ERROR_MESSAGE]],23,FALSE)&lt;&gt;0,VLOOKUP(A87,DB_TBL_DATA_FIELDS[[FIELD_ID]:[ERROR_MESSAGE]],23,FALSE),"")</f>
        <v/>
      </c>
      <c r="E87" s="57">
        <f>VLOOKUP(A87,DB_TBL_DATA_FIELDS[[#All],[FIELD_ID]:[RANGE_VALIDATION_MAX]],18,FALSE)</f>
        <v>7</v>
      </c>
      <c r="F87" s="57">
        <f>VLOOKUP(A87,DB_TBL_DATA_FIELDS[[#All],[FIELD_ID]:[RANGE_VALIDATION_MAX]],19,FALSE)</f>
        <v>7</v>
      </c>
      <c r="G87" s="57">
        <f t="shared" ca="1" si="6"/>
        <v>1</v>
      </c>
      <c r="H87" s="268"/>
      <c r="I87" s="67" t="s">
        <v>2962</v>
      </c>
      <c r="J87" s="140"/>
      <c r="K87" s="141"/>
      <c r="L87" s="142"/>
      <c r="M87" s="141"/>
      <c r="N87" s="140"/>
      <c r="O87" s="141"/>
      <c r="P87" s="140"/>
      <c r="Q87" s="141"/>
      <c r="R87" s="140"/>
      <c r="S87" s="141"/>
      <c r="T87" s="141"/>
      <c r="U87" s="141"/>
      <c r="V87" s="141"/>
      <c r="W87" s="169"/>
      <c r="X87" s="143" t="str">
        <f>IF(C134=1,1,"")</f>
        <v/>
      </c>
      <c r="Y87" s="268"/>
    </row>
    <row r="88" spans="1:25" ht="21.95" customHeight="1" thickTop="1" x14ac:dyDescent="0.25">
      <c r="A88" s="64" t="s">
        <v>2317</v>
      </c>
      <c r="B88" s="101" t="str">
        <f>IF(Q65="","",IF(UPPER(Q65)="YES",TRUE,FALSE))</f>
        <v/>
      </c>
      <c r="C88" s="57">
        <f ca="1">VLOOKUP(A88,DB_TBL_DATA_FIELDS[[FIELD_ID]:[PCT_CALC_FIELD_STATUS_CODE]],22,FALSE)</f>
        <v>1</v>
      </c>
      <c r="D88" s="57" t="str">
        <f>IF(VLOOKUP(A88,DB_TBL_DATA_FIELDS[[FIELD_ID]:[ERROR_MESSAGE]],23,FALSE)&lt;&gt;0,VLOOKUP(A88,DB_TBL_DATA_FIELDS[[FIELD_ID]:[ERROR_MESSAGE]],23,FALSE),"")</f>
        <v/>
      </c>
      <c r="E88" s="57">
        <f>VLOOKUP(A88,DB_TBL_DATA_FIELDS[[#All],[FIELD_ID]:[RANGE_VALIDATION_MAX]],18,FALSE)</f>
        <v>0</v>
      </c>
      <c r="F88" s="57">
        <f>VLOOKUP(A88,DB_TBL_DATA_FIELDS[[#All],[FIELD_ID]:[RANGE_VALIDATION_MAX]],19,FALSE)</f>
        <v>0</v>
      </c>
      <c r="G88" s="57">
        <f t="shared" ca="1" si="6"/>
        <v>1</v>
      </c>
      <c r="H88" s="268"/>
      <c r="I88" s="268"/>
      <c r="J88" s="268"/>
      <c r="K88" s="268"/>
      <c r="L88" s="268"/>
      <c r="M88" s="268"/>
      <c r="N88" s="268"/>
      <c r="O88" s="268"/>
      <c r="P88" s="268"/>
      <c r="Q88" s="268"/>
      <c r="R88" s="268"/>
      <c r="S88" s="268"/>
      <c r="T88" s="268"/>
      <c r="U88" s="268"/>
      <c r="V88" s="268"/>
      <c r="W88" s="268"/>
      <c r="X88" s="268"/>
      <c r="Y88" s="268"/>
    </row>
    <row r="89" spans="1:25" ht="21.95" customHeight="1" x14ac:dyDescent="0.25">
      <c r="A89" s="64" t="s">
        <v>2333</v>
      </c>
      <c r="B89" s="101" t="str">
        <f>IF(I65&lt;&gt;"",I65,"")</f>
        <v/>
      </c>
      <c r="C89" s="57">
        <f ca="1">VLOOKUP(A89,DB_TBL_DATA_FIELDS[[FIELD_ID]:[PCT_CALC_FIELD_STATUS_CODE]],22,FALSE)</f>
        <v>1</v>
      </c>
      <c r="D89" s="57" t="str">
        <f>IF(VLOOKUP(A89,DB_TBL_DATA_FIELDS[[FIELD_ID]:[ERROR_MESSAGE]],23,FALSE)&lt;&gt;0,VLOOKUP(A89,DB_TBL_DATA_FIELDS[[FIELD_ID]:[ERROR_MESSAGE]],23,FALSE),"")</f>
        <v/>
      </c>
      <c r="E89" s="57">
        <f>VLOOKUP(A89,DB_TBL_DATA_FIELDS[[#All],[FIELD_ID]:[RANGE_VALIDATION_MAX]],18,FALSE)</f>
        <v>0</v>
      </c>
      <c r="F89" s="57">
        <f>VLOOKUP(A89,DB_TBL_DATA_FIELDS[[#All],[FIELD_ID]:[RANGE_VALIDATION_MAX]],19,FALSE)</f>
        <v>999999999</v>
      </c>
      <c r="G89" s="57">
        <f t="shared" ca="1" si="6"/>
        <v>1</v>
      </c>
      <c r="H89" s="268"/>
      <c r="I89" s="268"/>
      <c r="J89" s="268"/>
      <c r="K89" s="268"/>
      <c r="L89" s="268"/>
      <c r="N89" s="268"/>
      <c r="O89" s="268"/>
      <c r="P89" s="268"/>
      <c r="Q89" s="268"/>
      <c r="R89" s="268"/>
      <c r="S89" s="268"/>
      <c r="T89" s="268"/>
      <c r="U89" s="268"/>
      <c r="V89" s="268"/>
      <c r="W89" s="268"/>
      <c r="X89" s="268"/>
      <c r="Y89" s="268"/>
    </row>
    <row r="90" spans="1:25" ht="21.95" customHeight="1" x14ac:dyDescent="0.25">
      <c r="A90" s="64" t="s">
        <v>2337</v>
      </c>
      <c r="B90" s="101" t="str">
        <f>IF(M65&lt;&gt;"",M65,"")</f>
        <v/>
      </c>
      <c r="C90" s="57">
        <f ca="1">VLOOKUP(A90,DB_TBL_DATA_FIELDS[[FIELD_ID]:[PCT_CALC_FIELD_STATUS_CODE]],22,FALSE)</f>
        <v>1</v>
      </c>
      <c r="D90" s="57" t="str">
        <f>IF(VLOOKUP(A90,DB_TBL_DATA_FIELDS[[FIELD_ID]:[ERROR_MESSAGE]],23,FALSE)&lt;&gt;0,VLOOKUP(A90,DB_TBL_DATA_FIELDS[[FIELD_ID]:[ERROR_MESSAGE]],23,FALSE),"")</f>
        <v/>
      </c>
      <c r="E90" s="57">
        <f>VLOOKUP(A90,DB_TBL_DATA_FIELDS[[#All],[FIELD_ID]:[RANGE_VALIDATION_MAX]],18,FALSE)</f>
        <v>0</v>
      </c>
      <c r="F90" s="57">
        <f>VLOOKUP(A90,DB_TBL_DATA_FIELDS[[#All],[FIELD_ID]:[RANGE_VALIDATION_MAX]],19,FALSE)</f>
        <v>50</v>
      </c>
      <c r="G90" s="57">
        <f t="shared" ca="1" si="6"/>
        <v>1</v>
      </c>
      <c r="H90" s="268"/>
      <c r="I90" s="268"/>
      <c r="J90" s="268"/>
      <c r="K90" s="268"/>
      <c r="L90" s="268"/>
      <c r="M90" s="268"/>
      <c r="N90" s="268"/>
      <c r="O90" s="268"/>
      <c r="P90" s="268"/>
      <c r="Q90" s="268"/>
      <c r="R90" s="268"/>
      <c r="S90" s="268"/>
      <c r="T90" s="268"/>
      <c r="U90" s="268"/>
      <c r="V90" s="268"/>
      <c r="W90" s="268"/>
      <c r="X90" s="268"/>
      <c r="Y90" s="268"/>
    </row>
    <row r="91" spans="1:25" ht="21.95" customHeight="1" thickBot="1" x14ac:dyDescent="0.3">
      <c r="A91" s="64" t="s">
        <v>2335</v>
      </c>
      <c r="B91" s="101" t="str">
        <f>IF(U65="","",IF(UPPER(U65)="YES",TRUE,FALSE))</f>
        <v/>
      </c>
      <c r="C91" s="57">
        <f ca="1">VLOOKUP(A91,DB_TBL_DATA_FIELDS[[FIELD_ID]:[PCT_CALC_FIELD_STATUS_CODE]],22,FALSE)</f>
        <v>1</v>
      </c>
      <c r="D91" s="57" t="str">
        <f>IF(VLOOKUP(A91,DB_TBL_DATA_FIELDS[[FIELD_ID]:[ERROR_MESSAGE]],23,FALSE)&lt;&gt;0,VLOOKUP(A91,DB_TBL_DATA_FIELDS[[FIELD_ID]:[ERROR_MESSAGE]],23,FALSE),"")</f>
        <v/>
      </c>
      <c r="E91" s="57">
        <f>VLOOKUP(A91,DB_TBL_DATA_FIELDS[[#All],[FIELD_ID]:[RANGE_VALIDATION_MAX]],18,FALSE)</f>
        <v>0</v>
      </c>
      <c r="F91" s="57">
        <f>VLOOKUP(A91,DB_TBL_DATA_FIELDS[[#All],[FIELD_ID]:[RANGE_VALIDATION_MAX]],19,FALSE)</f>
        <v>0</v>
      </c>
      <c r="G91" s="57">
        <f t="shared" ca="1" si="6"/>
        <v>1</v>
      </c>
      <c r="I91" s="58" t="str">
        <f>B126</f>
        <v>Member Certification</v>
      </c>
      <c r="J91" s="58"/>
      <c r="K91" s="58"/>
      <c r="L91" s="58"/>
      <c r="M91" s="58"/>
      <c r="N91" s="58"/>
      <c r="O91" s="58"/>
      <c r="P91" s="58"/>
      <c r="Q91" s="58"/>
      <c r="R91" s="58"/>
      <c r="S91" s="58"/>
      <c r="T91" s="58"/>
      <c r="U91" s="58"/>
      <c r="V91" s="58"/>
      <c r="W91" s="58"/>
      <c r="X91" s="59" t="str">
        <f ca="1">"Status: "&amp;$B$137</f>
        <v>Status: Not Started</v>
      </c>
    </row>
    <row r="92" spans="1:25" ht="21.95" customHeight="1" x14ac:dyDescent="0.25">
      <c r="A92" s="64" t="s">
        <v>156</v>
      </c>
      <c r="B92" s="68" t="str">
        <f>"C"&amp;MATCH(LEFT(A92,LEN(A92)-LEN("_RANGE")),A:A,0)+1&amp;":C"&amp;(ROW()-1)</f>
        <v>C80:C91</v>
      </c>
      <c r="C92" s="57"/>
      <c r="D92" s="57"/>
      <c r="E92" s="57"/>
      <c r="F92" s="57"/>
      <c r="G92" s="57"/>
      <c r="J92"/>
      <c r="V92"/>
      <c r="X92"/>
    </row>
    <row r="93" spans="1:25" ht="21.95" customHeight="1" x14ac:dyDescent="0.25">
      <c r="A93" s="64" t="s">
        <v>157</v>
      </c>
      <c r="B93" s="68">
        <f ca="1">COUNTIF(INDIRECT($B92),2)</f>
        <v>0</v>
      </c>
      <c r="C93" s="57"/>
      <c r="D93" s="57"/>
      <c r="E93" s="57"/>
      <c r="F93" s="57"/>
      <c r="G93" s="57"/>
      <c r="I93" s="282" t="s">
        <v>2955</v>
      </c>
      <c r="J93" s="282"/>
      <c r="K93" s="282"/>
      <c r="L93" s="282"/>
      <c r="M93" s="282"/>
      <c r="N93" s="282"/>
      <c r="O93" s="282"/>
      <c r="P93" s="282"/>
      <c r="Q93" s="282"/>
      <c r="R93" s="282"/>
      <c r="S93" s="282"/>
      <c r="T93" s="282"/>
      <c r="U93" s="282"/>
      <c r="V93" s="282"/>
      <c r="W93" s="282"/>
      <c r="X93" s="282"/>
    </row>
    <row r="94" spans="1:25" ht="21.95" customHeight="1" x14ac:dyDescent="0.25">
      <c r="A94" s="64" t="s">
        <v>158</v>
      </c>
      <c r="B94" s="68">
        <f ca="1">COUNTIF(INDIRECT($B92),0)+COUNTIF(INDIRECT($B92),1)+COUNTIF(INDIRECT($B92),2)</f>
        <v>11</v>
      </c>
      <c r="C94" s="57"/>
      <c r="D94" s="57"/>
      <c r="E94" s="57"/>
      <c r="F94" s="57"/>
      <c r="G94" s="57"/>
      <c r="I94" s="282"/>
      <c r="J94" s="282"/>
      <c r="K94" s="282"/>
      <c r="L94" s="282"/>
      <c r="M94" s="282"/>
      <c r="N94" s="282"/>
      <c r="O94" s="282"/>
      <c r="P94" s="282"/>
      <c r="Q94" s="282"/>
      <c r="R94" s="282"/>
      <c r="S94" s="282"/>
      <c r="T94" s="282"/>
      <c r="U94" s="282"/>
      <c r="V94" s="282"/>
      <c r="W94" s="282"/>
      <c r="X94" s="282"/>
    </row>
    <row r="95" spans="1:25" ht="21.95" customHeight="1" x14ac:dyDescent="0.25">
      <c r="A95" s="64" t="s">
        <v>159</v>
      </c>
      <c r="B95" s="68">
        <f ca="1">COUNTIF(INDIRECT($B92),0)</f>
        <v>0</v>
      </c>
      <c r="C95" s="57"/>
      <c r="D95" s="57"/>
      <c r="E95" s="57"/>
      <c r="F95" s="57"/>
      <c r="G95" s="57"/>
      <c r="I95" s="282"/>
      <c r="J95" s="282"/>
      <c r="K95" s="282"/>
      <c r="L95" s="282"/>
      <c r="M95" s="282"/>
      <c r="N95" s="282"/>
      <c r="O95" s="282"/>
      <c r="P95" s="282"/>
      <c r="Q95" s="282"/>
      <c r="R95" s="282"/>
      <c r="S95" s="282"/>
      <c r="T95" s="282"/>
      <c r="U95" s="282"/>
      <c r="V95" s="282"/>
      <c r="W95" s="282"/>
      <c r="X95" s="282"/>
    </row>
    <row r="96" spans="1:25" ht="21.95" customHeight="1" x14ac:dyDescent="0.25">
      <c r="A96" s="64" t="s">
        <v>160</v>
      </c>
      <c r="B96" s="103">
        <f ca="1">IFERROR(B93/B94,1.01)</f>
        <v>0</v>
      </c>
      <c r="C96" s="57"/>
      <c r="D96" s="57"/>
      <c r="E96" s="57"/>
      <c r="F96" s="57"/>
      <c r="G96" s="57"/>
      <c r="I96" s="282"/>
      <c r="J96" s="282"/>
      <c r="K96" s="282"/>
      <c r="L96" s="282"/>
      <c r="M96" s="282"/>
      <c r="N96" s="282"/>
      <c r="O96" s="282"/>
      <c r="P96" s="282"/>
      <c r="Q96" s="282"/>
      <c r="R96" s="282"/>
      <c r="S96" s="282"/>
      <c r="T96" s="282"/>
      <c r="U96" s="282"/>
      <c r="V96" s="282"/>
      <c r="W96" s="282"/>
      <c r="X96" s="282"/>
    </row>
    <row r="97" spans="1:24" ht="21.95" customHeight="1" x14ac:dyDescent="0.25">
      <c r="A97" s="64" t="s">
        <v>161</v>
      </c>
      <c r="B97" s="68" t="str">
        <f ca="1">IF(B95&gt;0,"Data Error(s)",IF(B96=0,"Not Started",IF(B96&lt;1,ROUNDUP(B96*100,0)&amp;"% Done",IF(B96&gt;1,"Optional","Complete"))))</f>
        <v>Not Started</v>
      </c>
      <c r="C97" s="57"/>
      <c r="D97" s="57"/>
      <c r="E97" s="57"/>
      <c r="F97" s="57"/>
      <c r="G97" s="57"/>
      <c r="I97" s="282"/>
      <c r="J97" s="282"/>
      <c r="K97" s="282"/>
      <c r="L97" s="282"/>
      <c r="M97" s="282"/>
      <c r="N97" s="282"/>
      <c r="O97" s="282"/>
      <c r="P97" s="282"/>
      <c r="Q97" s="282"/>
      <c r="R97" s="282"/>
      <c r="S97" s="282"/>
      <c r="T97" s="282"/>
      <c r="U97" s="282"/>
      <c r="V97" s="282"/>
      <c r="W97" s="282"/>
      <c r="X97" s="282"/>
    </row>
    <row r="98" spans="1:24" ht="21.95" customHeight="1" x14ac:dyDescent="0.25">
      <c r="A98" s="64" t="s">
        <v>162</v>
      </c>
      <c r="B98" s="68" t="str">
        <f ca="1">IF(B95&gt;0,0,IF(B96&lt;1,"",2))</f>
        <v/>
      </c>
      <c r="C98" s="57"/>
      <c r="D98" s="57"/>
      <c r="E98" s="57"/>
      <c r="F98" s="57"/>
      <c r="G98" s="57"/>
      <c r="I98" s="282"/>
      <c r="J98" s="282"/>
      <c r="K98" s="282"/>
      <c r="L98" s="282"/>
      <c r="M98" s="282"/>
      <c r="N98" s="282"/>
      <c r="O98" s="282"/>
      <c r="P98" s="282"/>
      <c r="Q98" s="282"/>
      <c r="R98" s="282"/>
      <c r="S98" s="282"/>
      <c r="T98" s="282"/>
      <c r="U98" s="282"/>
      <c r="V98" s="282"/>
      <c r="W98" s="282"/>
      <c r="X98" s="282"/>
    </row>
    <row r="99" spans="1:24" ht="21.95" customHeight="1" x14ac:dyDescent="0.25">
      <c r="A99" s="64" t="s">
        <v>163</v>
      </c>
      <c r="B99" s="102" t="s">
        <v>2386</v>
      </c>
      <c r="C99" s="57"/>
      <c r="D99" s="57"/>
      <c r="E99" s="57"/>
      <c r="F99" s="57"/>
      <c r="G99" s="57"/>
      <c r="I99" s="282"/>
      <c r="J99" s="282"/>
      <c r="K99" s="282"/>
      <c r="L99" s="282"/>
      <c r="M99" s="282"/>
      <c r="N99" s="282"/>
      <c r="O99" s="282"/>
      <c r="P99" s="282"/>
      <c r="Q99" s="282"/>
      <c r="R99" s="282"/>
      <c r="S99" s="282"/>
      <c r="T99" s="282"/>
      <c r="U99" s="282"/>
      <c r="V99" s="282"/>
      <c r="W99" s="282"/>
      <c r="X99" s="282"/>
    </row>
    <row r="100" spans="1:24" ht="21.95" customHeight="1" x14ac:dyDescent="0.25">
      <c r="A100" s="80" t="s">
        <v>2858</v>
      </c>
      <c r="B100" s="237" t="str">
        <f ca="1">IF(DATA_PRIMARY_RESIDENCE_FLAG=FALSE,'$DB.CONFIG'!M3,"")</f>
        <v/>
      </c>
      <c r="C100" s="57">
        <f ca="1">IF(B100="",0,1)</f>
        <v>0</v>
      </c>
      <c r="D100" s="57"/>
      <c r="E100" s="57"/>
      <c r="F100" s="57"/>
      <c r="G100" s="57"/>
      <c r="I100" s="282"/>
      <c r="J100" s="282"/>
      <c r="K100" s="282"/>
      <c r="L100" s="282"/>
      <c r="M100" s="282"/>
      <c r="N100" s="282"/>
      <c r="O100" s="282"/>
      <c r="P100" s="282"/>
      <c r="Q100" s="282"/>
      <c r="R100" s="282"/>
      <c r="S100" s="282"/>
      <c r="T100" s="282"/>
      <c r="U100" s="282"/>
      <c r="V100" s="282"/>
      <c r="W100" s="282"/>
      <c r="X100" s="282"/>
    </row>
    <row r="101" spans="1:24" ht="21.95" customHeight="1" x14ac:dyDescent="0.25">
      <c r="A101" s="80" t="s">
        <v>2163</v>
      </c>
      <c r="B101" s="68">
        <f ca="1">COUNTIF(C100,1)</f>
        <v>0</v>
      </c>
      <c r="C101" s="57"/>
      <c r="D101" s="57"/>
      <c r="E101" s="57"/>
      <c r="F101" s="57"/>
      <c r="G101" s="57"/>
      <c r="I101" s="282"/>
      <c r="J101" s="282"/>
      <c r="K101" s="282"/>
      <c r="L101" s="282"/>
      <c r="M101" s="282"/>
      <c r="N101" s="282"/>
      <c r="O101" s="282"/>
      <c r="P101" s="282"/>
      <c r="Q101" s="282"/>
      <c r="R101" s="282"/>
      <c r="S101" s="282"/>
      <c r="T101" s="282"/>
      <c r="U101" s="282"/>
      <c r="V101" s="282"/>
      <c r="W101" s="282"/>
      <c r="X101" s="282"/>
    </row>
    <row r="102" spans="1:24" ht="21.95" customHeight="1" x14ac:dyDescent="0.25">
      <c r="A102" s="80" t="s">
        <v>2164</v>
      </c>
      <c r="B102" s="68" t="b">
        <f ca="1">(B101&gt;0)</f>
        <v>0</v>
      </c>
      <c r="C102" s="57"/>
      <c r="D102" s="57"/>
      <c r="E102" s="57"/>
      <c r="F102" s="57"/>
      <c r="G102" s="57"/>
      <c r="I102" s="282"/>
      <c r="J102" s="282"/>
      <c r="K102" s="282"/>
      <c r="L102" s="282"/>
      <c r="M102" s="282"/>
      <c r="N102" s="282"/>
      <c r="O102" s="282"/>
      <c r="P102" s="282"/>
      <c r="Q102" s="282"/>
      <c r="R102" s="282"/>
      <c r="S102" s="282"/>
      <c r="T102" s="282"/>
      <c r="U102" s="282"/>
      <c r="V102" s="282"/>
      <c r="W102" s="282"/>
      <c r="X102" s="282"/>
    </row>
    <row r="103" spans="1:24" ht="21.95" customHeight="1" x14ac:dyDescent="0.25">
      <c r="A103" s="97" t="s">
        <v>165</v>
      </c>
      <c r="B103" s="99" t="s">
        <v>2387</v>
      </c>
      <c r="C103" s="98"/>
      <c r="D103" s="98"/>
      <c r="E103" s="98"/>
      <c r="F103" s="98"/>
      <c r="G103" s="98"/>
      <c r="I103" s="282"/>
      <c r="J103" s="282"/>
      <c r="K103" s="282"/>
      <c r="L103" s="282"/>
      <c r="M103" s="282"/>
      <c r="N103" s="282"/>
      <c r="O103" s="282"/>
      <c r="P103" s="282"/>
      <c r="Q103" s="282"/>
      <c r="R103" s="282"/>
      <c r="S103" s="282"/>
      <c r="T103" s="282"/>
      <c r="U103" s="282"/>
      <c r="V103" s="282"/>
      <c r="W103" s="282"/>
      <c r="X103" s="282"/>
    </row>
    <row r="104" spans="1:24" ht="21.95" customHeight="1" x14ac:dyDescent="0.25">
      <c r="A104" s="64" t="s">
        <v>2340</v>
      </c>
      <c r="B104" s="145" t="b">
        <v>0</v>
      </c>
      <c r="C104" s="57" t="str">
        <f ca="1">VLOOKUP(A104,DB_TBL_DATA_FIELDS[[FIELD_ID]:[PCT_CALC_FIELD_STATUS_CODE]],22,FALSE)</f>
        <v/>
      </c>
      <c r="D104" s="57" t="str">
        <f>IF(VLOOKUP(A104,DB_TBL_DATA_FIELDS[[FIELD_ID]:[ERROR_MESSAGE]],23,FALSE)&lt;&gt;0,VLOOKUP(A104,DB_TBL_DATA_FIELDS[[FIELD_ID]:[ERROR_MESSAGE]],23,FALSE),"")</f>
        <v/>
      </c>
      <c r="E104" s="57">
        <f>VLOOKUP(A104,DB_TBL_DATA_FIELDS[[#All],[FIELD_ID]:[RANGE_VALIDATION_MAX]],18,FALSE)</f>
        <v>0</v>
      </c>
      <c r="F104" s="57">
        <f>VLOOKUP(A104,DB_TBL_DATA_FIELDS[[#All],[FIELD_ID]:[RANGE_VALIDATION_MAX]],19,FALSE)</f>
        <v>0</v>
      </c>
      <c r="G104" s="57" t="str">
        <f t="shared" ref="G104:G114" ca="1" si="8">IF(C104&lt;0,"",C104)</f>
        <v/>
      </c>
      <c r="I104" s="282"/>
      <c r="J104" s="282"/>
      <c r="K104" s="282"/>
      <c r="L104" s="282"/>
      <c r="M104" s="282"/>
      <c r="N104" s="282"/>
      <c r="O104" s="282"/>
      <c r="P104" s="282"/>
      <c r="Q104" s="282"/>
      <c r="R104" s="282"/>
      <c r="S104" s="282"/>
      <c r="T104" s="282"/>
      <c r="U104" s="282"/>
      <c r="V104" s="282"/>
      <c r="W104" s="282"/>
      <c r="X104" s="282"/>
    </row>
    <row r="105" spans="1:24" ht="21.95" customHeight="1" x14ac:dyDescent="0.25">
      <c r="A105" s="64" t="s">
        <v>2342</v>
      </c>
      <c r="B105" s="68" t="str">
        <f ca="1">VLOOKUP(A105,DB_TBL_DATA_FIELDS[[#All],[FIELD_ID]:[FIELD_VALUE_RAW]],5,FALSE)</f>
        <v/>
      </c>
      <c r="C105" s="57">
        <f ca="1">VLOOKUP(A105,DB_TBL_DATA_FIELDS[[FIELD_ID]:[PCT_CALC_FIELD_STATUS_CODE]],22,FALSE)</f>
        <v>1</v>
      </c>
      <c r="D105" s="57" t="str">
        <f ca="1">IF(VLOOKUP(A105,DB_TBL_DATA_FIELDS[[FIELD_ID]:[ERROR_MESSAGE]],23,FALSE)&lt;&gt;0,VLOOKUP(A105,DB_TBL_DATA_FIELDS[[FIELD_ID]:[ERROR_MESSAGE]],23,FALSE),"")</f>
        <v/>
      </c>
      <c r="E105" s="57">
        <f>VLOOKUP(A105,DB_TBL_DATA_FIELDS[[#All],[FIELD_ID]:[RANGE_VALIDATION_MAX]],18,FALSE)</f>
        <v>0</v>
      </c>
      <c r="F105" s="57">
        <f>VLOOKUP(A105,DB_TBL_DATA_FIELDS[[#All],[FIELD_ID]:[RANGE_VALIDATION_MAX]],19,FALSE)</f>
        <v>0</v>
      </c>
      <c r="G105" s="57">
        <f t="shared" ca="1" si="8"/>
        <v>1</v>
      </c>
      <c r="I105" s="282"/>
      <c r="J105" s="282"/>
      <c r="K105" s="282"/>
      <c r="L105" s="282"/>
      <c r="M105" s="282"/>
      <c r="N105" s="282"/>
      <c r="O105" s="282"/>
      <c r="P105" s="282"/>
      <c r="Q105" s="282"/>
      <c r="R105" s="282"/>
      <c r="S105" s="282"/>
      <c r="T105" s="282"/>
      <c r="U105" s="282"/>
      <c r="V105" s="282"/>
      <c r="W105" s="282"/>
      <c r="X105" s="282"/>
    </row>
    <row r="106" spans="1:24" ht="21.95" customHeight="1" x14ac:dyDescent="0.25">
      <c r="A106" s="64" t="s">
        <v>2344</v>
      </c>
      <c r="B106" s="68" t="str">
        <f ca="1">VLOOKUP(A106,DB_TBL_DATA_FIELDS[[#All],[FIELD_ID]:[FIELD_VALUE_RAW]],5,FALSE)</f>
        <v/>
      </c>
      <c r="C106" s="57" t="str">
        <f ca="1">VLOOKUP(A106,DB_TBL_DATA_FIELDS[[FIELD_ID]:[PCT_CALC_FIELD_STATUS_CODE]],22,FALSE)</f>
        <v/>
      </c>
      <c r="D106" s="57" t="str">
        <f>IF(VLOOKUP(A106,DB_TBL_DATA_FIELDS[[FIELD_ID]:[ERROR_MESSAGE]],23,FALSE)&lt;&gt;0,VLOOKUP(A106,DB_TBL_DATA_FIELDS[[FIELD_ID]:[ERROR_MESSAGE]],23,FALSE),"")</f>
        <v/>
      </c>
      <c r="E106" s="57">
        <f>VLOOKUP(A106,DB_TBL_DATA_FIELDS[[#All],[FIELD_ID]:[RANGE_VALIDATION_MAX]],18,FALSE)</f>
        <v>0</v>
      </c>
      <c r="F106" s="57">
        <f>VLOOKUP(A106,DB_TBL_DATA_FIELDS[[#All],[FIELD_ID]:[RANGE_VALIDATION_MAX]],19,FALSE)</f>
        <v>4</v>
      </c>
      <c r="G106" s="57" t="str">
        <f t="shared" ca="1" si="8"/>
        <v/>
      </c>
      <c r="I106" s="282"/>
      <c r="J106" s="282"/>
      <c r="K106" s="282"/>
      <c r="L106" s="282"/>
      <c r="M106" s="282"/>
      <c r="N106" s="282"/>
      <c r="O106" s="282"/>
      <c r="P106" s="282"/>
      <c r="Q106" s="282"/>
      <c r="R106" s="282"/>
      <c r="S106" s="282"/>
      <c r="T106" s="282"/>
      <c r="U106" s="282"/>
      <c r="V106" s="282"/>
      <c r="W106" s="282"/>
      <c r="X106" s="282"/>
    </row>
    <row r="107" spans="1:24" ht="21.95" customHeight="1" x14ac:dyDescent="0.25">
      <c r="A107" s="64" t="s">
        <v>2345</v>
      </c>
      <c r="B107" s="101" t="str">
        <f>IF(I85&lt;&gt;"",I85,"")</f>
        <v/>
      </c>
      <c r="C107" s="57">
        <f ca="1">VLOOKUP(A107,DB_TBL_DATA_FIELDS[[FIELD_ID]:[PCT_CALC_FIELD_STATUS_CODE]],22,FALSE)</f>
        <v>1</v>
      </c>
      <c r="D107" s="57" t="str">
        <f>IF(VLOOKUP(A107,DB_TBL_DATA_FIELDS[[FIELD_ID]:[ERROR_MESSAGE]],23,FALSE)&lt;&gt;0,VLOOKUP(A107,DB_TBL_DATA_FIELDS[[FIELD_ID]:[ERROR_MESSAGE]],23,FALSE),"")</f>
        <v/>
      </c>
      <c r="E107" s="57">
        <f>VLOOKUP(A107,DB_TBL_DATA_FIELDS[[#All],[FIELD_ID]:[RANGE_VALIDATION_MAX]],18,FALSE)</f>
        <v>1</v>
      </c>
      <c r="F107" s="57">
        <f>VLOOKUP(A107,DB_TBL_DATA_FIELDS[[#All],[FIELD_ID]:[RANGE_VALIDATION_MAX]],19,FALSE)</f>
        <v>20</v>
      </c>
      <c r="G107" s="57">
        <f t="shared" ca="1" si="8"/>
        <v>1</v>
      </c>
      <c r="I107" s="282"/>
      <c r="J107" s="282"/>
      <c r="K107" s="282"/>
      <c r="L107" s="282"/>
      <c r="M107" s="282"/>
      <c r="N107" s="282"/>
      <c r="O107" s="282"/>
      <c r="P107" s="282"/>
      <c r="Q107" s="282"/>
      <c r="R107" s="282"/>
      <c r="S107" s="282"/>
      <c r="T107" s="282"/>
      <c r="U107" s="282"/>
      <c r="V107" s="282"/>
      <c r="W107" s="282"/>
      <c r="X107" s="282"/>
    </row>
    <row r="108" spans="1:24" ht="21.95" customHeight="1" x14ac:dyDescent="0.25">
      <c r="A108" s="64" t="s">
        <v>2347</v>
      </c>
      <c r="B108" s="68" t="str">
        <f ca="1">VLOOKUP(A108,DB_TBL_DATA_FIELDS[[#All],[FIELD_ID]:[FIELD_VALUE_RAW]],5,FALSE)</f>
        <v/>
      </c>
      <c r="C108" s="57">
        <f ca="1">VLOOKUP(A108,DB_TBL_DATA_FIELDS[[FIELD_ID]:[PCT_CALC_FIELD_STATUS_CODE]],22,FALSE)</f>
        <v>1</v>
      </c>
      <c r="D108" s="57" t="str">
        <f>IF(VLOOKUP(A108,DB_TBL_DATA_FIELDS[[FIELD_ID]:[ERROR_MESSAGE]],23,FALSE)&lt;&gt;0,VLOOKUP(A108,DB_TBL_DATA_FIELDS[[FIELD_ID]:[ERROR_MESSAGE]],23,FALSE),"")</f>
        <v/>
      </c>
      <c r="E108" s="57">
        <f>VLOOKUP(A108,DB_TBL_DATA_FIELDS[[#All],[FIELD_ID]:[RANGE_VALIDATION_MAX]],18,FALSE)</f>
        <v>0</v>
      </c>
      <c r="F108" s="57">
        <f>VLOOKUP(A108,DB_TBL_DATA_FIELDS[[#All],[FIELD_ID]:[RANGE_VALIDATION_MAX]],19,FALSE)</f>
        <v>999999999</v>
      </c>
      <c r="G108" s="57">
        <f t="shared" ca="1" si="8"/>
        <v>1</v>
      </c>
      <c r="I108" s="282"/>
      <c r="J108" s="282"/>
      <c r="K108" s="282"/>
      <c r="L108" s="282"/>
      <c r="M108" s="282"/>
      <c r="N108" s="282"/>
      <c r="O108" s="282"/>
      <c r="P108" s="282"/>
      <c r="Q108" s="282"/>
      <c r="R108" s="282"/>
      <c r="S108" s="282"/>
      <c r="T108" s="282"/>
      <c r="U108" s="282"/>
      <c r="V108" s="282"/>
      <c r="W108" s="282"/>
      <c r="X108" s="282"/>
    </row>
    <row r="109" spans="1:24" ht="21.95" customHeight="1" x14ac:dyDescent="0.25">
      <c r="A109" s="64" t="s">
        <v>2346</v>
      </c>
      <c r="B109" s="101" t="str">
        <f>IF(M85&lt;&gt;"",M85,"")</f>
        <v/>
      </c>
      <c r="C109" s="57">
        <f ca="1">VLOOKUP(A109,DB_TBL_DATA_FIELDS[[FIELD_ID]:[PCT_CALC_FIELD_STATUS_CODE]],22,FALSE)</f>
        <v>1</v>
      </c>
      <c r="D109" s="57" t="str">
        <f>IF(VLOOKUP(A109,DB_TBL_DATA_FIELDS[[FIELD_ID]:[ERROR_MESSAGE]],23,FALSE)&lt;&gt;0,VLOOKUP(A109,DB_TBL_DATA_FIELDS[[FIELD_ID]:[ERROR_MESSAGE]],23,FALSE),"")</f>
        <v/>
      </c>
      <c r="E109" s="57">
        <f>VLOOKUP(A109,DB_TBL_DATA_FIELDS[[#All],[FIELD_ID]:[RANGE_VALIDATION_MAX]],18,FALSE)</f>
        <v>0</v>
      </c>
      <c r="F109" s="57">
        <f>VLOOKUP(A109,DB_TBL_DATA_FIELDS[[#All],[FIELD_ID]:[RANGE_VALIDATION_MAX]],19,FALSE)</f>
        <v>999999999</v>
      </c>
      <c r="G109" s="57">
        <f t="shared" ca="1" si="8"/>
        <v>1</v>
      </c>
      <c r="I109" s="282"/>
      <c r="J109" s="282"/>
      <c r="K109" s="282"/>
      <c r="L109" s="282"/>
      <c r="M109" s="282"/>
      <c r="N109" s="282"/>
      <c r="O109" s="282"/>
      <c r="P109" s="282"/>
      <c r="Q109" s="282"/>
      <c r="R109" s="282"/>
      <c r="S109" s="282"/>
      <c r="T109" s="282"/>
      <c r="U109" s="282"/>
      <c r="V109" s="282"/>
      <c r="W109" s="282"/>
      <c r="X109" s="282"/>
    </row>
    <row r="110" spans="1:24" ht="21.95" customHeight="1" x14ac:dyDescent="0.25">
      <c r="A110" s="64" t="s">
        <v>2349</v>
      </c>
      <c r="B110" s="68" t="str">
        <f ca="1">VLOOKUP(A110,DB_TBL_DATA_FIELDS[[#All],[FIELD_ID]:[FIELD_VALUE_RAW]],5,FALSE)</f>
        <v/>
      </c>
      <c r="C110" s="57">
        <f ca="1">VLOOKUP(A110,DB_TBL_DATA_FIELDS[[FIELD_ID]:[PCT_CALC_FIELD_STATUS_CODE]],22,FALSE)</f>
        <v>1</v>
      </c>
      <c r="D110" s="57" t="str">
        <f>IF(VLOOKUP(A110,DB_TBL_DATA_FIELDS[[FIELD_ID]:[ERROR_MESSAGE]],23,FALSE)&lt;&gt;0,VLOOKUP(A110,DB_TBL_DATA_FIELDS[[FIELD_ID]:[ERROR_MESSAGE]],23,FALSE),"")</f>
        <v/>
      </c>
      <c r="E110" s="57">
        <f>VLOOKUP(A110,DB_TBL_DATA_FIELDS[[#All],[FIELD_ID]:[RANGE_VALIDATION_MAX]],18,FALSE)</f>
        <v>0</v>
      </c>
      <c r="F110" s="57">
        <f>VLOOKUP(A110,DB_TBL_DATA_FIELDS[[#All],[FIELD_ID]:[RANGE_VALIDATION_MAX]],19,FALSE)</f>
        <v>999999999</v>
      </c>
      <c r="G110" s="57">
        <f t="shared" ca="1" si="8"/>
        <v>1</v>
      </c>
      <c r="I110" s="282"/>
      <c r="J110" s="282"/>
      <c r="K110" s="282"/>
      <c r="L110" s="282"/>
      <c r="M110" s="282"/>
      <c r="N110" s="282"/>
      <c r="O110" s="282"/>
      <c r="P110" s="282"/>
      <c r="Q110" s="282"/>
      <c r="R110" s="282"/>
      <c r="S110" s="282"/>
      <c r="T110" s="282"/>
      <c r="U110" s="282"/>
      <c r="V110" s="282"/>
      <c r="W110" s="282"/>
      <c r="X110" s="282"/>
    </row>
    <row r="111" spans="1:24" ht="21.95" customHeight="1" x14ac:dyDescent="0.25">
      <c r="A111" s="64" t="s">
        <v>2753</v>
      </c>
      <c r="B111" s="101" t="str">
        <f>IF(I72&lt;&gt;"",I72,"")</f>
        <v/>
      </c>
      <c r="C111" s="57">
        <f ca="1">VLOOKUP(A111,DB_TBL_DATA_FIELDS[[FIELD_ID]:[PCT_CALC_FIELD_STATUS_CODE]],22,FALSE)</f>
        <v>1</v>
      </c>
      <c r="D111" s="57" t="str">
        <f>IF(VLOOKUP(A111,DB_TBL_DATA_FIELDS[[FIELD_ID]:[ERROR_MESSAGE]],23,FALSE)&lt;&gt;0,VLOOKUP(A111,DB_TBL_DATA_FIELDS[[FIELD_ID]:[ERROR_MESSAGE]],23,FALSE),"")</f>
        <v/>
      </c>
      <c r="E111" s="57">
        <f>VLOOKUP(A111,DB_TBL_DATA_FIELDS[[#All],[FIELD_ID]:[RANGE_VALIDATION_MAX]],18,FALSE)</f>
        <v>0</v>
      </c>
      <c r="F111" s="57">
        <f>VLOOKUP(A111,DB_TBL_DATA_FIELDS[[#All],[FIELD_ID]:[RANGE_VALIDATION_MAX]],19,FALSE)</f>
        <v>50</v>
      </c>
      <c r="G111" s="57">
        <f t="shared" ref="G111:G113" ca="1" si="9">IF(C111&lt;0,"",C111)</f>
        <v>1</v>
      </c>
      <c r="I111" s="282"/>
      <c r="J111" s="282"/>
      <c r="K111" s="282"/>
      <c r="L111" s="282"/>
      <c r="M111" s="282"/>
      <c r="N111" s="282"/>
      <c r="O111" s="282"/>
      <c r="P111" s="282"/>
      <c r="Q111" s="282"/>
      <c r="R111" s="282"/>
      <c r="S111" s="282"/>
      <c r="T111" s="282"/>
      <c r="U111" s="282"/>
      <c r="V111" s="282"/>
      <c r="W111" s="282"/>
      <c r="X111" s="282"/>
    </row>
    <row r="112" spans="1:24" ht="21.95" customHeight="1" x14ac:dyDescent="0.25">
      <c r="A112" s="64" t="s">
        <v>2754</v>
      </c>
      <c r="B112" s="101" t="str">
        <f>IF(I74&lt;&gt;"",I74,"")</f>
        <v/>
      </c>
      <c r="C112" s="57">
        <f ca="1">VLOOKUP(A112,DB_TBL_DATA_FIELDS[[FIELD_ID]:[PCT_CALC_FIELD_STATUS_CODE]],22,FALSE)</f>
        <v>-1</v>
      </c>
      <c r="D112" s="57" t="str">
        <f>IF(VLOOKUP(A112,DB_TBL_DATA_FIELDS[[FIELD_ID]:[ERROR_MESSAGE]],23,FALSE)&lt;&gt;0,VLOOKUP(A112,DB_TBL_DATA_FIELDS[[FIELD_ID]:[ERROR_MESSAGE]],23,FALSE),"")</f>
        <v/>
      </c>
      <c r="E112" s="57">
        <f>VLOOKUP(A112,DB_TBL_DATA_FIELDS[[#All],[FIELD_ID]:[RANGE_VALIDATION_MAX]],18,FALSE)</f>
        <v>0</v>
      </c>
      <c r="F112" s="57">
        <f>VLOOKUP(A112,DB_TBL_DATA_FIELDS[[#All],[FIELD_ID]:[RANGE_VALIDATION_MAX]],19,FALSE)</f>
        <v>50</v>
      </c>
      <c r="G112" s="57" t="str">
        <f t="shared" ca="1" si="9"/>
        <v/>
      </c>
      <c r="I112" s="282"/>
      <c r="J112" s="282"/>
      <c r="K112" s="282"/>
      <c r="L112" s="282"/>
      <c r="M112" s="282"/>
      <c r="N112" s="282"/>
      <c r="O112" s="282"/>
      <c r="P112" s="282"/>
      <c r="Q112" s="282"/>
      <c r="R112" s="282"/>
      <c r="S112" s="282"/>
      <c r="T112" s="282"/>
      <c r="U112" s="282"/>
      <c r="V112" s="282"/>
      <c r="W112" s="282"/>
      <c r="X112" s="282"/>
    </row>
    <row r="113" spans="1:24" ht="21.95" customHeight="1" x14ac:dyDescent="0.25">
      <c r="A113" s="64" t="s">
        <v>2316</v>
      </c>
      <c r="B113" s="68" t="str">
        <f ca="1">VLOOKUP(A113,DB_TBL_DATA_FIELDS[[#All],[FIELD_ID]:[FIELD_VALUE_RAW]],5,FALSE)</f>
        <v/>
      </c>
      <c r="C113" s="57" t="str">
        <f ca="1">VLOOKUP(A113,DB_TBL_DATA_FIELDS[[FIELD_ID]:[PCT_CALC_FIELD_STATUS_CODE]],22,FALSE)</f>
        <v/>
      </c>
      <c r="D113" s="57" t="str">
        <f>IF(VLOOKUP(A113,DB_TBL_DATA_FIELDS[[FIELD_ID]:[ERROR_MESSAGE]],23,FALSE)&lt;&gt;0,VLOOKUP(A113,DB_TBL_DATA_FIELDS[[FIELD_ID]:[ERROR_MESSAGE]],23,FALSE),"")</f>
        <v/>
      </c>
      <c r="E113" s="57">
        <f>VLOOKUP(A113,DB_TBL_DATA_FIELDS[[#All],[FIELD_ID]:[RANGE_VALIDATION_MAX]],18,FALSE)</f>
        <v>0</v>
      </c>
      <c r="F113" s="57">
        <f>VLOOKUP(A113,DB_TBL_DATA_FIELDS[[#All],[FIELD_ID]:[RANGE_VALIDATION_MAX]],19,FALSE)</f>
        <v>50</v>
      </c>
      <c r="G113" s="57" t="str">
        <f t="shared" ca="1" si="9"/>
        <v/>
      </c>
      <c r="I113" s="282"/>
      <c r="J113" s="282"/>
      <c r="K113" s="282"/>
      <c r="L113" s="282"/>
      <c r="M113" s="282"/>
      <c r="N113" s="282"/>
      <c r="O113" s="282"/>
      <c r="P113" s="282"/>
      <c r="Q113" s="282"/>
      <c r="R113" s="282"/>
      <c r="S113" s="282"/>
      <c r="T113" s="282"/>
      <c r="U113" s="282"/>
      <c r="V113" s="282"/>
      <c r="W113" s="282"/>
      <c r="X113" s="282"/>
    </row>
    <row r="114" spans="1:24" ht="21.95" customHeight="1" x14ac:dyDescent="0.25">
      <c r="A114" s="64" t="s">
        <v>2371</v>
      </c>
      <c r="B114" s="101" t="str">
        <f>IF(U72&lt;&gt;"",U72,"")</f>
        <v/>
      </c>
      <c r="C114" s="57">
        <f ca="1">VLOOKUP(A114,DB_TBL_DATA_FIELDS[[FIELD_ID]:[PCT_CALC_FIELD_STATUS_CODE]],22,FALSE)</f>
        <v>1</v>
      </c>
      <c r="D114" s="57" t="str">
        <f ca="1">IF(VLOOKUP(A114,DB_TBL_DATA_FIELDS[[FIELD_ID]:[ERROR_MESSAGE]],23,FALSE)&lt;&gt;0,VLOOKUP(A114,DB_TBL_DATA_FIELDS[[FIELD_ID]:[ERROR_MESSAGE]],23,FALSE),"")</f>
        <v/>
      </c>
      <c r="E114" s="57">
        <f>VLOOKUP(A114,DB_TBL_DATA_FIELDS[[#All],[FIELD_ID]:[RANGE_VALIDATION_MAX]],18,FALSE)</f>
        <v>0</v>
      </c>
      <c r="F114" s="57">
        <f>VLOOKUP(A114,DB_TBL_DATA_FIELDS[[#All],[FIELD_ID]:[RANGE_VALIDATION_MAX]],19,FALSE)</f>
        <v>0</v>
      </c>
      <c r="G114" s="57">
        <f t="shared" ca="1" si="8"/>
        <v>1</v>
      </c>
      <c r="I114" s="282"/>
      <c r="J114" s="282"/>
      <c r="K114" s="282"/>
      <c r="L114" s="282"/>
      <c r="M114" s="282"/>
      <c r="N114" s="282"/>
      <c r="O114" s="282"/>
      <c r="P114" s="282"/>
      <c r="Q114" s="282"/>
      <c r="R114" s="282"/>
      <c r="S114" s="282"/>
      <c r="T114" s="282"/>
      <c r="U114" s="282"/>
      <c r="V114" s="282"/>
      <c r="W114" s="282"/>
      <c r="X114" s="282"/>
    </row>
    <row r="115" spans="1:24" ht="21.95" customHeight="1" x14ac:dyDescent="0.25">
      <c r="A115" s="64" t="s">
        <v>167</v>
      </c>
      <c r="B115" s="68" t="str">
        <f>"C"&amp;MATCH(LEFT(A115,LEN(A115)-LEN("_RANGE")),A:A,0)+1&amp;":C"&amp;(ROW()-1)</f>
        <v>C104:C114</v>
      </c>
      <c r="C115" s="57"/>
      <c r="D115" s="57"/>
      <c r="E115" s="57"/>
      <c r="F115" s="57"/>
      <c r="G115" s="57"/>
      <c r="I115" s="282"/>
      <c r="J115" s="282"/>
      <c r="K115" s="282"/>
      <c r="L115" s="282"/>
      <c r="M115" s="282"/>
      <c r="N115" s="282"/>
      <c r="O115" s="282"/>
      <c r="P115" s="282"/>
      <c r="Q115" s="282"/>
      <c r="R115" s="282"/>
      <c r="S115" s="282"/>
      <c r="T115" s="282"/>
      <c r="U115" s="282"/>
      <c r="V115" s="282"/>
      <c r="W115" s="282"/>
      <c r="X115" s="282"/>
    </row>
    <row r="116" spans="1:24" ht="21.95" customHeight="1" x14ac:dyDescent="0.25">
      <c r="A116" s="64" t="s">
        <v>168</v>
      </c>
      <c r="B116" s="68">
        <f ca="1">COUNTIF(INDIRECT($B115),2)</f>
        <v>0</v>
      </c>
      <c r="C116" s="57"/>
      <c r="D116" s="57"/>
      <c r="E116" s="57"/>
      <c r="F116" s="57"/>
      <c r="G116" s="57"/>
      <c r="I116" s="282"/>
      <c r="J116" s="282"/>
      <c r="K116" s="282"/>
      <c r="L116" s="282"/>
      <c r="M116" s="282"/>
      <c r="N116" s="282"/>
      <c r="O116" s="282"/>
      <c r="P116" s="282"/>
      <c r="Q116" s="282"/>
      <c r="R116" s="282"/>
      <c r="S116" s="282"/>
      <c r="T116" s="282"/>
      <c r="U116" s="282"/>
      <c r="V116" s="282"/>
      <c r="W116" s="282"/>
      <c r="X116" s="282"/>
    </row>
    <row r="117" spans="1:24" ht="21.95" customHeight="1" x14ac:dyDescent="0.25">
      <c r="A117" s="64" t="s">
        <v>169</v>
      </c>
      <c r="B117" s="68">
        <f ca="1">COUNTIF(INDIRECT($B115),0)+COUNTIF(INDIRECT($B115),1)+COUNTIF(INDIRECT($B115),2)</f>
        <v>7</v>
      </c>
      <c r="C117" s="57"/>
      <c r="D117" s="57"/>
      <c r="E117" s="57"/>
      <c r="F117" s="57"/>
      <c r="G117" s="57"/>
      <c r="J117"/>
      <c r="L117"/>
      <c r="N117"/>
      <c r="P117"/>
      <c r="R117"/>
      <c r="T117"/>
      <c r="V117"/>
      <c r="X117"/>
    </row>
    <row r="118" spans="1:24" ht="21.95" customHeight="1" x14ac:dyDescent="0.25">
      <c r="A118" s="64" t="s">
        <v>170</v>
      </c>
      <c r="B118" s="68">
        <f ca="1">COUNTIF(INDIRECT($B115),0)</f>
        <v>0</v>
      </c>
      <c r="C118" s="57"/>
      <c r="D118" s="57"/>
      <c r="E118" s="57"/>
      <c r="F118" s="57"/>
      <c r="G118" s="57"/>
      <c r="I118" s="39" t="s">
        <v>2923</v>
      </c>
      <c r="K118" s="39"/>
      <c r="M118" s="39"/>
      <c r="N118" s="39"/>
      <c r="O118" s="39" t="s">
        <v>2924</v>
      </c>
      <c r="Q118" s="39"/>
      <c r="S118" s="39"/>
      <c r="T118" s="39"/>
      <c r="U118" s="39" t="s">
        <v>31</v>
      </c>
      <c r="V118" s="39"/>
      <c r="W118" s="39"/>
      <c r="X118" s="39"/>
    </row>
    <row r="119" spans="1:24" ht="21.95" customHeight="1" x14ac:dyDescent="0.25">
      <c r="A119" s="64" t="s">
        <v>171</v>
      </c>
      <c r="B119" s="103">
        <f ca="1">IFERROR(B116/B117,1.01)</f>
        <v>0</v>
      </c>
      <c r="C119" s="57"/>
      <c r="D119" s="57"/>
      <c r="E119" s="57"/>
      <c r="F119" s="57"/>
      <c r="G119" s="57"/>
      <c r="I119" s="283"/>
      <c r="J119" s="284"/>
      <c r="K119" s="284"/>
      <c r="L119" s="284"/>
      <c r="M119" s="285"/>
      <c r="N119" s="55">
        <f ca="1">G127</f>
        <v>1</v>
      </c>
      <c r="O119" s="283"/>
      <c r="P119" s="284"/>
      <c r="Q119" s="284"/>
      <c r="R119" s="284"/>
      <c r="S119" s="285"/>
      <c r="T119" s="55">
        <f ca="1">G128</f>
        <v>1</v>
      </c>
      <c r="U119" s="294"/>
      <c r="V119" s="295"/>
      <c r="W119" s="296"/>
      <c r="X119" s="55">
        <f ca="1">G129</f>
        <v>1</v>
      </c>
    </row>
    <row r="120" spans="1:24" ht="21.95" customHeight="1" x14ac:dyDescent="0.25">
      <c r="A120" s="64" t="s">
        <v>172</v>
      </c>
      <c r="B120" s="68" t="str">
        <f ca="1">IF(B118&gt;0,"Data Error(s)",IF(B119=0,"Not Started",IF(B119&lt;1,ROUNDUP(B119*100,0)&amp;"% Done",IF(B119&gt;1,"Optional","Complete"))))</f>
        <v>Not Started</v>
      </c>
      <c r="C120" s="57"/>
      <c r="D120" s="57"/>
      <c r="E120" s="57"/>
      <c r="F120" s="57"/>
      <c r="G120" s="57"/>
      <c r="I120" s="39" t="s">
        <v>135</v>
      </c>
      <c r="K120" s="39"/>
      <c r="M120" s="39"/>
      <c r="N120" s="39"/>
      <c r="O120" s="39"/>
      <c r="P120" s="39"/>
      <c r="S120" s="39" t="s">
        <v>2173</v>
      </c>
      <c r="W120" s="39"/>
    </row>
    <row r="121" spans="1:24" ht="21.95" customHeight="1" x14ac:dyDescent="0.25">
      <c r="A121" s="64" t="s">
        <v>173</v>
      </c>
      <c r="B121" s="68" t="str">
        <f ca="1">IF(B118&gt;0,0,IF(B119&lt;1,"",2))</f>
        <v/>
      </c>
      <c r="C121" s="57"/>
      <c r="D121" s="57"/>
      <c r="E121" s="57"/>
      <c r="F121" s="57"/>
      <c r="G121" s="57"/>
      <c r="I121" s="283"/>
      <c r="J121" s="284"/>
      <c r="K121" s="284"/>
      <c r="L121" s="284"/>
      <c r="M121" s="284"/>
      <c r="N121" s="284"/>
      <c r="O121" s="284"/>
      <c r="P121" s="284"/>
      <c r="Q121" s="285"/>
      <c r="R121" s="55">
        <f ca="1">G130</f>
        <v>1</v>
      </c>
      <c r="S121" s="326"/>
      <c r="T121" s="327"/>
      <c r="U121" s="327"/>
      <c r="V121" s="327"/>
      <c r="W121" s="328"/>
      <c r="X121" s="55">
        <f ca="1">G131</f>
        <v>1</v>
      </c>
    </row>
    <row r="122" spans="1:24" ht="21.95" customHeight="1" x14ac:dyDescent="0.25">
      <c r="A122" s="64" t="s">
        <v>174</v>
      </c>
      <c r="B122" s="102" t="s">
        <v>2387</v>
      </c>
      <c r="C122" s="57"/>
      <c r="D122" s="57"/>
      <c r="E122" s="57"/>
      <c r="F122" s="57"/>
      <c r="G122" s="57"/>
      <c r="I122" s="325" t="str">
        <f ca="1">D130</f>
        <v/>
      </c>
      <c r="J122" s="325"/>
      <c r="K122" s="325"/>
      <c r="L122" s="325"/>
      <c r="M122" s="325"/>
      <c r="N122" s="325"/>
      <c r="O122" s="325"/>
      <c r="P122" s="325"/>
      <c r="Q122" s="325"/>
      <c r="R122"/>
      <c r="T122"/>
      <c r="V122"/>
      <c r="X122"/>
    </row>
    <row r="123" spans="1:24" ht="21.95" customHeight="1" x14ac:dyDescent="0.25">
      <c r="A123" s="80" t="s">
        <v>2594</v>
      </c>
      <c r="B123" s="68" t="str">
        <f ca="1">IF(AND(DATA_MAX_ALLOWABLE_INCOME&lt;&gt;"",DATA_HSEHLD_INC_AMT&lt;&gt;"",DATA_MAX_ALLOWABLE_INCOME&lt;DATA_HSEHLD_INC_AMT),'$DB.CONFIG'!$M$3,"")</f>
        <v/>
      </c>
      <c r="C123" s="57">
        <f ca="1">IF(B123="",0,1)</f>
        <v>0</v>
      </c>
      <c r="D123" s="57"/>
      <c r="E123" s="57"/>
      <c r="F123" s="57"/>
      <c r="G123" s="57"/>
      <c r="J123"/>
      <c r="L123"/>
      <c r="N123"/>
      <c r="P123"/>
    </row>
    <row r="124" spans="1:24" ht="21.95" customHeight="1" x14ac:dyDescent="0.25">
      <c r="A124" s="80" t="s">
        <v>2161</v>
      </c>
      <c r="B124" s="68">
        <f ca="1">COUNTIF(C123,1)</f>
        <v>0</v>
      </c>
      <c r="C124" s="57"/>
      <c r="D124" s="57"/>
      <c r="E124" s="57"/>
      <c r="F124" s="57"/>
      <c r="G124" s="57"/>
      <c r="J124"/>
      <c r="L124"/>
      <c r="N124"/>
      <c r="P124"/>
    </row>
    <row r="125" spans="1:24" ht="21.95" hidden="1" customHeight="1" x14ac:dyDescent="0.25">
      <c r="A125" s="80" t="s">
        <v>2162</v>
      </c>
      <c r="B125" s="68" t="b">
        <f ca="1">(B124&gt;0)</f>
        <v>0</v>
      </c>
      <c r="C125" s="57"/>
      <c r="D125" s="57"/>
      <c r="E125" s="57"/>
      <c r="F125" s="57"/>
      <c r="G125" s="57"/>
      <c r="J125"/>
      <c r="L125"/>
      <c r="N125"/>
      <c r="P125"/>
    </row>
    <row r="126" spans="1:24" ht="21.95" hidden="1" customHeight="1" x14ac:dyDescent="0.25">
      <c r="A126" s="97" t="s">
        <v>2911</v>
      </c>
      <c r="B126" s="99" t="s">
        <v>2912</v>
      </c>
      <c r="C126" s="98"/>
      <c r="D126" s="98"/>
      <c r="E126" s="98"/>
      <c r="F126" s="98"/>
      <c r="G126" s="98"/>
      <c r="J126"/>
      <c r="L126"/>
      <c r="N126"/>
      <c r="P126"/>
      <c r="R126"/>
      <c r="T126"/>
      <c r="V126"/>
      <c r="X126"/>
    </row>
    <row r="127" spans="1:24" ht="21.95" hidden="1" customHeight="1" x14ac:dyDescent="0.25">
      <c r="A127" s="64" t="s">
        <v>2905</v>
      </c>
      <c r="B127" s="101" t="str">
        <f>IF(I119&lt;&gt;"",I119,"")</f>
        <v/>
      </c>
      <c r="C127" s="57">
        <f ca="1">VLOOKUP(A127,DB_TBL_DATA_FIELDS[[FIELD_ID]:[PCT_CALC_FIELD_STATUS_CODE]],22,FALSE)</f>
        <v>1</v>
      </c>
      <c r="D127" s="57" t="str">
        <f ca="1">IF(VLOOKUP(A127,DB_TBL_DATA_FIELDS[[FIELD_ID]:[ERROR_MESSAGE]],23,FALSE)&lt;&gt;0,VLOOKUP(A127,DB_TBL_DATA_FIELDS[[FIELD_ID]:[ERROR_MESSAGE]],23,FALSE),"")</f>
        <v/>
      </c>
      <c r="E127" s="57">
        <f>VLOOKUP(A127,DB_TBL_DATA_FIELDS[[#All],[FIELD_ID]:[RANGE_VALIDATION_MAX]],18,FALSE)</f>
        <v>0</v>
      </c>
      <c r="F127" s="57">
        <f>VLOOKUP(A127,DB_TBL_DATA_FIELDS[[#All],[FIELD_ID]:[RANGE_VALIDATION_MAX]],19,FALSE)</f>
        <v>100</v>
      </c>
      <c r="G127" s="57">
        <f t="shared" ref="G127:G131" ca="1" si="10">IF(C127&lt;0,"",C127)</f>
        <v>1</v>
      </c>
      <c r="J127"/>
      <c r="L127"/>
      <c r="N127"/>
      <c r="P127"/>
      <c r="R127"/>
      <c r="T127"/>
      <c r="V127"/>
      <c r="X127"/>
    </row>
    <row r="128" spans="1:24" ht="21.95" hidden="1" customHeight="1" x14ac:dyDescent="0.25">
      <c r="A128" s="64" t="s">
        <v>2907</v>
      </c>
      <c r="B128" s="101" t="str">
        <f>IF(O119&lt;&gt;"",O119,"")</f>
        <v/>
      </c>
      <c r="C128" s="57">
        <f ca="1">VLOOKUP(A128,DB_TBL_DATA_FIELDS[[FIELD_ID]:[PCT_CALC_FIELD_STATUS_CODE]],22,FALSE)</f>
        <v>1</v>
      </c>
      <c r="D128" s="57" t="str">
        <f ca="1">IF(VLOOKUP(A128,DB_TBL_DATA_FIELDS[[FIELD_ID]:[ERROR_MESSAGE]],23,FALSE)&lt;&gt;0,VLOOKUP(A128,DB_TBL_DATA_FIELDS[[FIELD_ID]:[ERROR_MESSAGE]],23,FALSE),"")</f>
        <v/>
      </c>
      <c r="E128" s="57">
        <f>VLOOKUP(A128,DB_TBL_DATA_FIELDS[[#All],[FIELD_ID]:[RANGE_VALIDATION_MAX]],18,FALSE)</f>
        <v>0</v>
      </c>
      <c r="F128" s="57">
        <f>VLOOKUP(A128,DB_TBL_DATA_FIELDS[[#All],[FIELD_ID]:[RANGE_VALIDATION_MAX]],19,FALSE)</f>
        <v>100</v>
      </c>
      <c r="G128" s="57">
        <f t="shared" ca="1" si="10"/>
        <v>1</v>
      </c>
      <c r="J128"/>
      <c r="L128"/>
      <c r="N128"/>
      <c r="P128"/>
      <c r="R128"/>
      <c r="T128"/>
      <c r="V128"/>
      <c r="X128"/>
    </row>
    <row r="129" spans="1:24" ht="21.95" hidden="1" customHeight="1" x14ac:dyDescent="0.25">
      <c r="A129" s="64" t="s">
        <v>2908</v>
      </c>
      <c r="B129" s="101" t="str">
        <f>IF(U119&lt;&gt;"",U119,"")</f>
        <v/>
      </c>
      <c r="C129" s="57">
        <f ca="1">VLOOKUP(A129,DB_TBL_DATA_FIELDS[[FIELD_ID]:[PCT_CALC_FIELD_STATUS_CODE]],22,FALSE)</f>
        <v>1</v>
      </c>
      <c r="D129" s="57" t="str">
        <f ca="1">IF(VLOOKUP(A129,DB_TBL_DATA_FIELDS[[FIELD_ID]:[ERROR_MESSAGE]],23,FALSE)&lt;&gt;0,VLOOKUP(A129,DB_TBL_DATA_FIELDS[[FIELD_ID]:[ERROR_MESSAGE]],23,FALSE),"")</f>
        <v/>
      </c>
      <c r="E129" s="57">
        <f>VLOOKUP(A129,DB_TBL_DATA_FIELDS[[#All],[FIELD_ID]:[RANGE_VALIDATION_MAX]],18,FALSE)</f>
        <v>0</v>
      </c>
      <c r="F129" s="57">
        <f>VLOOKUP(A129,DB_TBL_DATA_FIELDS[[#All],[FIELD_ID]:[RANGE_VALIDATION_MAX]],19,FALSE)</f>
        <v>0</v>
      </c>
      <c r="G129" s="57">
        <f t="shared" ca="1" si="10"/>
        <v>1</v>
      </c>
      <c r="J129"/>
      <c r="L129"/>
      <c r="N129"/>
      <c r="P129"/>
      <c r="R129"/>
      <c r="T129"/>
      <c r="V129"/>
      <c r="X129"/>
    </row>
    <row r="130" spans="1:24" ht="21.95" hidden="1" customHeight="1" x14ac:dyDescent="0.25">
      <c r="A130" s="64" t="s">
        <v>2256</v>
      </c>
      <c r="B130" s="101" t="str">
        <f>IF(I121&lt;&gt;"",I121,"")</f>
        <v/>
      </c>
      <c r="C130" s="57">
        <f ca="1">VLOOKUP(A130,DB_TBL_DATA_FIELDS[[FIELD_ID]:[PCT_CALC_FIELD_STATUS_CODE]],22,FALSE)</f>
        <v>1</v>
      </c>
      <c r="D130" s="57" t="str">
        <f ca="1">IF(VLOOKUP(A130,DB_TBL_DATA_FIELDS[[FIELD_ID]:[ERROR_MESSAGE]],23,FALSE)&lt;&gt;0,VLOOKUP(A130,DB_TBL_DATA_FIELDS[[FIELD_ID]:[ERROR_MESSAGE]],23,FALSE),"")</f>
        <v/>
      </c>
      <c r="E130" s="57">
        <f>VLOOKUP(A130,DB_TBL_DATA_FIELDS[[#All],[FIELD_ID]:[RANGE_VALIDATION_MAX]],18,FALSE)</f>
        <v>0</v>
      </c>
      <c r="F130" s="57">
        <f>VLOOKUP(A130,DB_TBL_DATA_FIELDS[[#All],[FIELD_ID]:[RANGE_VALIDATION_MAX]],19,FALSE)</f>
        <v>60</v>
      </c>
      <c r="G130" s="57">
        <f t="shared" ca="1" si="10"/>
        <v>1</v>
      </c>
      <c r="J130"/>
      <c r="L130"/>
      <c r="N130"/>
      <c r="P130"/>
      <c r="R130"/>
      <c r="T130"/>
      <c r="V130"/>
      <c r="X130"/>
    </row>
    <row r="131" spans="1:24" ht="21.95" hidden="1" customHeight="1" x14ac:dyDescent="0.25">
      <c r="A131" s="64" t="s">
        <v>2257</v>
      </c>
      <c r="B131" s="101" t="str">
        <f>IF(S121&lt;&gt;"",S121,"")</f>
        <v/>
      </c>
      <c r="C131" s="57">
        <f ca="1">VLOOKUP(A131,DB_TBL_DATA_FIELDS[[FIELD_ID]:[PCT_CALC_FIELD_STATUS_CODE]],22,FALSE)</f>
        <v>1</v>
      </c>
      <c r="D131" s="57" t="str">
        <f>IF(VLOOKUP(A131,DB_TBL_DATA_FIELDS[[FIELD_ID]:[ERROR_MESSAGE]],23,FALSE)&lt;&gt;0,VLOOKUP(A131,DB_TBL_DATA_FIELDS[[FIELD_ID]:[ERROR_MESSAGE]],23,FALSE),"")</f>
        <v/>
      </c>
      <c r="E131" s="57">
        <f>VLOOKUP(A131,DB_TBL_DATA_FIELDS[[#All],[FIELD_ID]:[RANGE_VALIDATION_MAX]],18,FALSE)</f>
        <v>0</v>
      </c>
      <c r="F131" s="57">
        <f>VLOOKUP(A131,DB_TBL_DATA_FIELDS[[#All],[FIELD_ID]:[RANGE_VALIDATION_MAX]],19,FALSE)</f>
        <v>50</v>
      </c>
      <c r="G131" s="57">
        <f t="shared" ca="1" si="10"/>
        <v>1</v>
      </c>
      <c r="J131"/>
      <c r="L131"/>
      <c r="N131"/>
      <c r="P131"/>
      <c r="R131"/>
      <c r="T131"/>
      <c r="V131"/>
      <c r="X131"/>
    </row>
    <row r="132" spans="1:24" ht="21.95" hidden="1" customHeight="1" x14ac:dyDescent="0.25">
      <c r="A132" s="64" t="s">
        <v>2913</v>
      </c>
      <c r="B132" s="68" t="str">
        <f>"C"&amp;MATCH(LEFT(A132,LEN(A132)-LEN("_RANGE")),A:A,0)+1&amp;":C"&amp;(ROW()-1)</f>
        <v>C127:C131</v>
      </c>
      <c r="C132" s="57"/>
      <c r="D132" s="57"/>
      <c r="E132" s="57"/>
      <c r="F132" s="57"/>
      <c r="G132" s="57"/>
      <c r="J132"/>
      <c r="L132"/>
      <c r="N132"/>
      <c r="P132"/>
      <c r="R132"/>
      <c r="T132"/>
      <c r="V132"/>
      <c r="X132"/>
    </row>
    <row r="133" spans="1:24" ht="21.95" hidden="1" customHeight="1" x14ac:dyDescent="0.25">
      <c r="A133" s="64" t="s">
        <v>2914</v>
      </c>
      <c r="B133" s="68">
        <f ca="1">COUNTIF(INDIRECT($B132),2)</f>
        <v>0</v>
      </c>
      <c r="C133" s="57"/>
      <c r="D133" s="57"/>
      <c r="E133" s="57"/>
      <c r="F133" s="57"/>
      <c r="G133" s="57"/>
      <c r="J133"/>
      <c r="L133"/>
      <c r="N133"/>
      <c r="P133"/>
      <c r="R133"/>
      <c r="T133"/>
      <c r="V133"/>
      <c r="X133"/>
    </row>
    <row r="134" spans="1:24" ht="21.95" hidden="1" customHeight="1" x14ac:dyDescent="0.25">
      <c r="A134" s="64" t="s">
        <v>2915</v>
      </c>
      <c r="B134" s="68">
        <f ca="1">COUNTIF(INDIRECT($B132),0)+COUNTIF(INDIRECT($B132),1)+COUNTIF(INDIRECT($B132),2)</f>
        <v>5</v>
      </c>
      <c r="C134" s="57"/>
      <c r="D134" s="57"/>
      <c r="E134" s="57"/>
      <c r="F134" s="57"/>
      <c r="G134" s="57"/>
      <c r="J134"/>
      <c r="L134"/>
      <c r="N134"/>
      <c r="P134"/>
      <c r="R134"/>
      <c r="T134"/>
      <c r="V134"/>
      <c r="X134"/>
    </row>
    <row r="135" spans="1:24" ht="21.95" hidden="1" customHeight="1" x14ac:dyDescent="0.25">
      <c r="A135" s="64" t="s">
        <v>2916</v>
      </c>
      <c r="B135" s="68">
        <f ca="1">COUNTIF(INDIRECT($B132),0)</f>
        <v>0</v>
      </c>
      <c r="C135" s="57"/>
      <c r="D135" s="57"/>
      <c r="E135" s="57"/>
      <c r="F135" s="57"/>
      <c r="G135" s="57"/>
      <c r="J135"/>
      <c r="L135"/>
      <c r="N135"/>
      <c r="P135"/>
      <c r="R135"/>
      <c r="T135"/>
      <c r="V135"/>
      <c r="X135"/>
    </row>
    <row r="136" spans="1:24" ht="21.95" hidden="1" customHeight="1" x14ac:dyDescent="0.25">
      <c r="A136" s="64" t="s">
        <v>2917</v>
      </c>
      <c r="B136" s="103">
        <f ca="1">IFERROR(B133/B134,1.01)</f>
        <v>0</v>
      </c>
      <c r="C136" s="57"/>
      <c r="D136" s="57"/>
      <c r="E136" s="57"/>
      <c r="F136" s="57"/>
      <c r="G136" s="57"/>
      <c r="J136"/>
      <c r="L136"/>
      <c r="N136"/>
      <c r="P136"/>
      <c r="R136"/>
      <c r="T136"/>
      <c r="V136"/>
      <c r="X136"/>
    </row>
    <row r="137" spans="1:24" ht="21.95" hidden="1" customHeight="1" x14ac:dyDescent="0.25">
      <c r="A137" s="64" t="s">
        <v>2918</v>
      </c>
      <c r="B137" s="68" t="str">
        <f ca="1">IF(B135&gt;0,"Data Error(s)",IF(B136=0,"Not Started",IF(B136&lt;1,ROUNDUP(B136*100,0)&amp;"% Done",IF(B136&gt;1,"Optional","Complete"))))</f>
        <v>Not Started</v>
      </c>
      <c r="C137" s="57"/>
      <c r="D137" s="57"/>
      <c r="E137" s="57"/>
      <c r="F137" s="57"/>
      <c r="G137" s="57"/>
      <c r="J137"/>
      <c r="L137"/>
      <c r="N137"/>
      <c r="P137"/>
      <c r="R137"/>
      <c r="T137"/>
      <c r="V137"/>
      <c r="X137"/>
    </row>
    <row r="138" spans="1:24" ht="21.95" hidden="1" customHeight="1" x14ac:dyDescent="0.25">
      <c r="A138" s="64" t="s">
        <v>2919</v>
      </c>
      <c r="B138" s="68" t="str">
        <f ca="1">IF(B135&gt;0,0,IF(B136&lt;1,"",2))</f>
        <v/>
      </c>
      <c r="C138" s="57"/>
      <c r="D138" s="57"/>
      <c r="E138" s="57"/>
      <c r="F138" s="57"/>
      <c r="G138" s="57"/>
      <c r="J138"/>
      <c r="L138"/>
      <c r="N138"/>
      <c r="P138"/>
      <c r="R138"/>
      <c r="T138"/>
      <c r="V138"/>
      <c r="X138"/>
    </row>
    <row r="139" spans="1:24" ht="21.95" hidden="1" customHeight="1" x14ac:dyDescent="0.25">
      <c r="A139" s="64" t="s">
        <v>2920</v>
      </c>
      <c r="B139" s="102" t="s">
        <v>2912</v>
      </c>
      <c r="C139" s="57"/>
      <c r="D139" s="57"/>
      <c r="E139" s="57"/>
      <c r="F139" s="57"/>
      <c r="G139" s="57"/>
      <c r="J139"/>
      <c r="L139"/>
      <c r="N139"/>
      <c r="P139"/>
      <c r="R139"/>
      <c r="T139"/>
      <c r="V139"/>
      <c r="X139"/>
    </row>
    <row r="140" spans="1:24" ht="21.95" hidden="1" customHeight="1" x14ac:dyDescent="0.25">
      <c r="A140" s="80" t="s">
        <v>2921</v>
      </c>
      <c r="B140" s="68">
        <v>0</v>
      </c>
      <c r="C140" s="57"/>
      <c r="D140" s="57"/>
      <c r="E140" s="57"/>
      <c r="F140" s="57"/>
      <c r="G140" s="57"/>
      <c r="J140"/>
      <c r="L140"/>
      <c r="N140"/>
      <c r="P140"/>
      <c r="R140"/>
      <c r="T140"/>
      <c r="V140"/>
      <c r="X140"/>
    </row>
    <row r="141" spans="1:24" ht="21.95" hidden="1" customHeight="1" x14ac:dyDescent="0.25">
      <c r="A141" s="80" t="s">
        <v>2922</v>
      </c>
      <c r="B141" s="68" t="b">
        <f>(B140&gt;0)</f>
        <v>0</v>
      </c>
      <c r="C141" s="57"/>
      <c r="D141" s="57"/>
      <c r="E141" s="57"/>
      <c r="F141" s="57"/>
      <c r="G141" s="57"/>
      <c r="J141"/>
      <c r="L141"/>
      <c r="N141"/>
      <c r="P141"/>
      <c r="R141"/>
      <c r="T141"/>
      <c r="V141"/>
      <c r="X141"/>
    </row>
    <row r="142" spans="1:24" ht="21.95" hidden="1" customHeight="1" x14ac:dyDescent="0.25">
      <c r="J142"/>
      <c r="L142"/>
      <c r="N142"/>
      <c r="P142"/>
      <c r="R142"/>
      <c r="T142"/>
      <c r="V142"/>
      <c r="X142"/>
    </row>
    <row r="143" spans="1:24" ht="21.95" hidden="1" customHeight="1" x14ac:dyDescent="0.25">
      <c r="J143"/>
      <c r="L143"/>
      <c r="N143"/>
      <c r="P143"/>
      <c r="R143"/>
      <c r="T143"/>
      <c r="V143"/>
      <c r="X143"/>
    </row>
    <row r="144" spans="1:24" hidden="1" x14ac:dyDescent="0.25">
      <c r="J144"/>
      <c r="L144"/>
      <c r="N144"/>
      <c r="P144"/>
      <c r="R144"/>
      <c r="T144"/>
      <c r="V144"/>
      <c r="X144"/>
    </row>
    <row r="145" spans="10:24" hidden="1" x14ac:dyDescent="0.25">
      <c r="J145"/>
      <c r="L145"/>
      <c r="N145"/>
      <c r="P145"/>
      <c r="R145"/>
      <c r="T145"/>
      <c r="V145"/>
      <c r="X145"/>
    </row>
    <row r="146" spans="10:24" hidden="1" x14ac:dyDescent="0.25">
      <c r="J146"/>
      <c r="L146"/>
      <c r="N146"/>
      <c r="P146"/>
      <c r="R146"/>
      <c r="T146"/>
      <c r="V146"/>
      <c r="X146"/>
    </row>
    <row r="147" spans="10:24" hidden="1" x14ac:dyDescent="0.25">
      <c r="J147"/>
      <c r="L147"/>
      <c r="N147"/>
      <c r="P147"/>
      <c r="R147"/>
      <c r="T147"/>
      <c r="V147"/>
      <c r="X147"/>
    </row>
    <row r="148" spans="10:24" hidden="1" x14ac:dyDescent="0.25">
      <c r="J148"/>
      <c r="L148"/>
      <c r="N148"/>
      <c r="P148"/>
      <c r="R148"/>
      <c r="T148"/>
      <c r="V148"/>
      <c r="X148"/>
    </row>
    <row r="149" spans="10:24" hidden="1" x14ac:dyDescent="0.25">
      <c r="J149"/>
      <c r="L149"/>
      <c r="N149"/>
      <c r="P149"/>
      <c r="R149"/>
      <c r="T149"/>
      <c r="V149"/>
      <c r="X149"/>
    </row>
    <row r="150" spans="10:24" hidden="1" x14ac:dyDescent="0.25">
      <c r="J150"/>
      <c r="L150"/>
      <c r="N150"/>
      <c r="P150"/>
      <c r="R150"/>
      <c r="T150"/>
      <c r="V150"/>
      <c r="X150"/>
    </row>
    <row r="151" spans="10:24" hidden="1" x14ac:dyDescent="0.25">
      <c r="J151"/>
      <c r="L151"/>
      <c r="N151"/>
      <c r="P151"/>
      <c r="R151"/>
      <c r="T151"/>
      <c r="V151"/>
      <c r="X151"/>
    </row>
    <row r="152" spans="10:24" hidden="1" x14ac:dyDescent="0.25">
      <c r="J152"/>
      <c r="L152"/>
      <c r="N152"/>
      <c r="P152"/>
      <c r="R152"/>
      <c r="T152"/>
      <c r="V152"/>
      <c r="X152"/>
    </row>
    <row r="153" spans="10:24" hidden="1" x14ac:dyDescent="0.25">
      <c r="J153"/>
      <c r="L153"/>
      <c r="N153"/>
      <c r="P153"/>
      <c r="R153"/>
      <c r="T153"/>
      <c r="V153"/>
      <c r="X153"/>
    </row>
    <row r="154" spans="10:24" hidden="1" x14ac:dyDescent="0.25">
      <c r="J154"/>
      <c r="L154"/>
      <c r="N154"/>
      <c r="P154"/>
      <c r="R154"/>
      <c r="T154"/>
      <c r="V154"/>
      <c r="X154"/>
    </row>
    <row r="155" spans="10:24" hidden="1" x14ac:dyDescent="0.25">
      <c r="J155"/>
      <c r="L155"/>
      <c r="N155"/>
      <c r="P155"/>
      <c r="R155"/>
      <c r="T155"/>
      <c r="V155"/>
      <c r="X155"/>
    </row>
  </sheetData>
  <sheetProtection algorithmName="SHA-512" hashValue="5lgpGLbdVmtrxU+zOShJQxJEoAuKnu/+7BnHyTFITbIyd/zE9MFVm/KdUWIgsVWWD7zmLM3v4yxhdAaX0J7EDA==" saltValue="4UQDUr45S52VTRKEbbSuHg==" spinCount="100000" sheet="1" objects="1" scenarios="1" selectLockedCells="1"/>
  <dataConsolidate/>
  <mergeCells count="60">
    <mergeCell ref="M85:O85"/>
    <mergeCell ref="Q85:S85"/>
    <mergeCell ref="U85:W85"/>
    <mergeCell ref="I85:K85"/>
    <mergeCell ref="I77:X78"/>
    <mergeCell ref="I81:X81"/>
    <mergeCell ref="M83:S83"/>
    <mergeCell ref="I122:Q122"/>
    <mergeCell ref="I119:M119"/>
    <mergeCell ref="O119:S119"/>
    <mergeCell ref="U119:W119"/>
    <mergeCell ref="S121:W121"/>
    <mergeCell ref="I121:Q121"/>
    <mergeCell ref="U50:W50"/>
    <mergeCell ref="I33:J33"/>
    <mergeCell ref="M33:P33"/>
    <mergeCell ref="Q19:U19"/>
    <mergeCell ref="Q33:V33"/>
    <mergeCell ref="Q34:U34"/>
    <mergeCell ref="Q35:U35"/>
    <mergeCell ref="Q36:U36"/>
    <mergeCell ref="I24:W24"/>
    <mergeCell ref="I35:J35"/>
    <mergeCell ref="I36:J36"/>
    <mergeCell ref="W33:X33"/>
    <mergeCell ref="I41:O41"/>
    <mergeCell ref="I43:O43"/>
    <mergeCell ref="Q43:S43"/>
    <mergeCell ref="I6:Y6"/>
    <mergeCell ref="U49:W49"/>
    <mergeCell ref="I17:M17"/>
    <mergeCell ref="I18:M18"/>
    <mergeCell ref="Q17:U17"/>
    <mergeCell ref="I19:M19"/>
    <mergeCell ref="Q18:U18"/>
    <mergeCell ref="Q41:S41"/>
    <mergeCell ref="U13:X13"/>
    <mergeCell ref="I9:X9"/>
    <mergeCell ref="U48:W48"/>
    <mergeCell ref="K33:L33"/>
    <mergeCell ref="M34:O34"/>
    <mergeCell ref="M35:O35"/>
    <mergeCell ref="M36:O36"/>
    <mergeCell ref="I34:J34"/>
    <mergeCell ref="I93:X116"/>
    <mergeCell ref="Q60:S60"/>
    <mergeCell ref="I53:S54"/>
    <mergeCell ref="Q51:W51"/>
    <mergeCell ref="Q62:S62"/>
    <mergeCell ref="I60:O60"/>
    <mergeCell ref="I62:K62"/>
    <mergeCell ref="M62:O62"/>
    <mergeCell ref="U72:W72"/>
    <mergeCell ref="U65:W65"/>
    <mergeCell ref="M65:O65"/>
    <mergeCell ref="I65:K65"/>
    <mergeCell ref="I72:S72"/>
    <mergeCell ref="Q65:S65"/>
    <mergeCell ref="U73:W74"/>
    <mergeCell ref="I74:S74"/>
  </mergeCells>
  <conditionalFormatting sqref="S3">
    <cfRule type="dataBar" priority="574">
      <dataBar>
        <cfvo type="num" val="0"/>
        <cfvo type="num" val="1"/>
        <color theme="6" tint="-0.249977111117893"/>
      </dataBar>
      <extLst>
        <ext xmlns:x14="http://schemas.microsoft.com/office/spreadsheetml/2009/9/main" uri="{B025F937-C7B1-47D3-B67F-A62EFF666E3E}">
          <x14:id>{0DDCFBC6-6DAE-49A0-9581-3FFF6CC4ABBD}</x14:id>
        </ext>
      </extLst>
    </cfRule>
  </conditionalFormatting>
  <conditionalFormatting sqref="R121 X24 X121 N119">
    <cfRule type="iconSet" priority="201">
      <iconSet iconSet="3Symbols" showValue="0">
        <cfvo type="percent" val="0"/>
        <cfvo type="num" val="0" gte="0"/>
        <cfvo type="num" val="2"/>
      </iconSet>
    </cfRule>
  </conditionalFormatting>
  <conditionalFormatting sqref="R13 N13 J13">
    <cfRule type="iconSet" priority="152">
      <iconSet iconSet="3Symbols" showValue="0">
        <cfvo type="percent" val="0"/>
        <cfvo type="num" val="0" gte="0"/>
        <cfvo type="num" val="2"/>
      </iconSet>
    </cfRule>
  </conditionalFormatting>
  <conditionalFormatting sqref="H6">
    <cfRule type="expression" dxfId="261" priority="119">
      <formula>($B$10=TRUE)</formula>
    </cfRule>
  </conditionalFormatting>
  <conditionalFormatting sqref="I6:Y6">
    <cfRule type="expression" dxfId="260" priority="120">
      <formula>($B$10=TRUE)</formula>
    </cfRule>
  </conditionalFormatting>
  <conditionalFormatting sqref="O17:P19">
    <cfRule type="expression" dxfId="259" priority="140">
      <formula>($P17=0)</formula>
    </cfRule>
    <cfRule type="expression" dxfId="258" priority="146">
      <formula>($P17=2)</formula>
    </cfRule>
  </conditionalFormatting>
  <conditionalFormatting sqref="P17:P19">
    <cfRule type="iconSet" priority="1892">
      <iconSet iconSet="3Symbols2" showValue="0">
        <cfvo type="percent" val="0"/>
        <cfvo type="num" val="0" gte="0"/>
        <cfvo type="num" val="1" gte="0"/>
      </iconSet>
    </cfRule>
  </conditionalFormatting>
  <conditionalFormatting sqref="N17:N19 V17:V18">
    <cfRule type="iconSet" priority="1894">
      <iconSet iconSet="3Flags">
        <cfvo type="percent" val="0"/>
        <cfvo type="num" val="0" gte="0"/>
        <cfvo type="num" val="1000" gte="0"/>
      </iconSet>
    </cfRule>
  </conditionalFormatting>
  <conditionalFormatting sqref="W17:X17">
    <cfRule type="expression" dxfId="257" priority="86">
      <formula>($X17=0)</formula>
    </cfRule>
    <cfRule type="expression" dxfId="256" priority="87">
      <formula>($X17=2)</formula>
    </cfRule>
  </conditionalFormatting>
  <conditionalFormatting sqref="X17">
    <cfRule type="iconSet" priority="88">
      <iconSet iconSet="3Symbols2" showValue="0">
        <cfvo type="percent" val="0"/>
        <cfvo type="num" val="0" gte="0"/>
        <cfvo type="num" val="1" gte="0"/>
      </iconSet>
    </cfRule>
  </conditionalFormatting>
  <conditionalFormatting sqref="W18:X18">
    <cfRule type="expression" dxfId="255" priority="83">
      <formula>($X18=0)</formula>
    </cfRule>
    <cfRule type="expression" dxfId="254" priority="84">
      <formula>($X18=2)</formula>
    </cfRule>
  </conditionalFormatting>
  <conditionalFormatting sqref="X18">
    <cfRule type="iconSet" priority="85">
      <iconSet iconSet="3Symbols2" showValue="0">
        <cfvo type="percent" val="0"/>
        <cfvo type="num" val="0" gte="0"/>
        <cfvo type="num" val="1" gte="0"/>
      </iconSet>
    </cfRule>
  </conditionalFormatting>
  <conditionalFormatting sqref="N119">
    <cfRule type="iconSet" priority="81">
      <iconSet iconSet="3Symbols" showValue="0">
        <cfvo type="percent" val="0"/>
        <cfvo type="num" val="0" gte="0"/>
        <cfvo type="num" val="2"/>
      </iconSet>
    </cfRule>
  </conditionalFormatting>
  <conditionalFormatting sqref="X121">
    <cfRule type="iconSet" priority="78">
      <iconSet iconSet="3Symbols" showValue="0">
        <cfvo type="percent" val="0"/>
        <cfvo type="num" val="0" gte="0"/>
        <cfvo type="num" val="2"/>
      </iconSet>
    </cfRule>
  </conditionalFormatting>
  <conditionalFormatting sqref="I122">
    <cfRule type="notContainsBlanks" dxfId="253" priority="77">
      <formula>LEN(TRIM(I122))&gt;0</formula>
    </cfRule>
  </conditionalFormatting>
  <conditionalFormatting sqref="X29">
    <cfRule type="iconSet" priority="74">
      <iconSet iconSet="3Symbols" showValue="0">
        <cfvo type="percent" val="0"/>
        <cfvo type="num" val="0" gte="0"/>
        <cfvo type="num" val="2"/>
      </iconSet>
    </cfRule>
  </conditionalFormatting>
  <conditionalFormatting sqref="R121">
    <cfRule type="iconSet" priority="2233">
      <iconSet iconSet="3Symbols" showValue="0">
        <cfvo type="percent" val="0"/>
        <cfvo type="num" val="0" gte="0"/>
        <cfvo type="num" val="2"/>
      </iconSet>
    </cfRule>
  </conditionalFormatting>
  <conditionalFormatting sqref="X25">
    <cfRule type="iconSet" priority="2235">
      <iconSet iconSet="3Symbols" showValue="0">
        <cfvo type="percent" val="0"/>
        <cfvo type="num" val="0" gte="0"/>
        <cfvo type="num" val="2"/>
      </iconSet>
    </cfRule>
  </conditionalFormatting>
  <conditionalFormatting sqref="T3">
    <cfRule type="iconSet" priority="73">
      <iconSet iconSet="3Symbols2" showValue="0">
        <cfvo type="percent" val="0"/>
        <cfvo type="num" val="0" gte="0"/>
        <cfvo type="num" val="1" gte="0"/>
      </iconSet>
    </cfRule>
  </conditionalFormatting>
  <conditionalFormatting sqref="I31:W31">
    <cfRule type="expression" dxfId="252" priority="72">
      <formula>(#REF!=1)</formula>
    </cfRule>
  </conditionalFormatting>
  <conditionalFormatting sqref="X38">
    <cfRule type="expression" dxfId="251" priority="60">
      <formula>(#REF!=1)</formula>
    </cfRule>
  </conditionalFormatting>
  <conditionalFormatting sqref="V34">
    <cfRule type="iconSet" priority="71">
      <iconSet iconSet="3Symbols" showValue="0">
        <cfvo type="percent" val="0"/>
        <cfvo type="num" val="0" gte="0"/>
        <cfvo type="num" val="2"/>
      </iconSet>
    </cfRule>
  </conditionalFormatting>
  <conditionalFormatting sqref="X31">
    <cfRule type="expression" dxfId="250" priority="70">
      <formula>(#REF!=1)</formula>
    </cfRule>
  </conditionalFormatting>
  <conditionalFormatting sqref="P34">
    <cfRule type="iconSet" priority="69">
      <iconSet iconSet="3Symbols" showValue="0">
        <cfvo type="percent" val="0"/>
        <cfvo type="num" val="0" gte="0"/>
        <cfvo type="num" val="2"/>
      </iconSet>
    </cfRule>
  </conditionalFormatting>
  <conditionalFormatting sqref="L34">
    <cfRule type="iconSet" priority="68">
      <iconSet iconSet="3Symbols" showValue="0">
        <cfvo type="percent" val="0"/>
        <cfvo type="num" val="0" gte="0"/>
        <cfvo type="num" val="2"/>
      </iconSet>
    </cfRule>
  </conditionalFormatting>
  <conditionalFormatting sqref="V35:V36">
    <cfRule type="iconSet" priority="67">
      <iconSet iconSet="3Symbols" showValue="0">
        <cfvo type="percent" val="0"/>
        <cfvo type="num" val="0" gte="0"/>
        <cfvo type="num" val="2"/>
      </iconSet>
    </cfRule>
  </conditionalFormatting>
  <conditionalFormatting sqref="P35:P36">
    <cfRule type="iconSet" priority="66">
      <iconSet iconSet="3Symbols" showValue="0">
        <cfvo type="percent" val="0"/>
        <cfvo type="num" val="0" gte="0"/>
        <cfvo type="num" val="2"/>
      </iconSet>
    </cfRule>
  </conditionalFormatting>
  <conditionalFormatting sqref="L35:L36">
    <cfRule type="iconSet" priority="65">
      <iconSet iconSet="3Symbols" showValue="0">
        <cfvo type="percent" val="0"/>
        <cfvo type="num" val="0" gte="0"/>
        <cfvo type="num" val="2"/>
      </iconSet>
    </cfRule>
  </conditionalFormatting>
  <conditionalFormatting sqref="X34:X36">
    <cfRule type="iconSet" priority="64">
      <iconSet iconSet="3Symbols" showValue="0">
        <cfvo type="percent" val="0"/>
        <cfvo type="num" val="0" gte="0"/>
        <cfvo type="num" val="2"/>
      </iconSet>
    </cfRule>
  </conditionalFormatting>
  <conditionalFormatting sqref="I38:W38">
    <cfRule type="expression" dxfId="249" priority="61">
      <formula>(#REF!=1)</formula>
    </cfRule>
  </conditionalFormatting>
  <conditionalFormatting sqref="P41 X41 T41 V41">
    <cfRule type="iconSet" priority="2238">
      <iconSet iconSet="3Symbols" showValue="0">
        <cfvo type="percent" val="0"/>
        <cfvo type="num" val="0" gte="0"/>
        <cfvo type="num" val="2"/>
      </iconSet>
    </cfRule>
  </conditionalFormatting>
  <conditionalFormatting sqref="P43">
    <cfRule type="iconSet" priority="59">
      <iconSet iconSet="3Symbols" showValue="0">
        <cfvo type="percent" val="0"/>
        <cfvo type="num" val="0" gte="0"/>
        <cfvo type="num" val="2"/>
      </iconSet>
    </cfRule>
  </conditionalFormatting>
  <conditionalFormatting sqref="T43">
    <cfRule type="iconSet" priority="58">
      <iconSet iconSet="3Symbols" showValue="0">
        <cfvo type="percent" val="0"/>
        <cfvo type="num" val="0" gte="0"/>
        <cfvo type="num" val="2"/>
      </iconSet>
    </cfRule>
  </conditionalFormatting>
  <conditionalFormatting sqref="X43">
    <cfRule type="iconSet" priority="57">
      <iconSet iconSet="3Symbols" showValue="0">
        <cfvo type="percent" val="0"/>
        <cfvo type="num" val="0" gte="0"/>
        <cfvo type="num" val="2"/>
      </iconSet>
    </cfRule>
  </conditionalFormatting>
  <conditionalFormatting sqref="X48">
    <cfRule type="iconSet" priority="54">
      <iconSet iconSet="3Symbols" showValue="0">
        <cfvo type="percent" val="0"/>
        <cfvo type="num" val="0" gte="0"/>
        <cfvo type="num" val="2"/>
      </iconSet>
    </cfRule>
  </conditionalFormatting>
  <conditionalFormatting sqref="X49">
    <cfRule type="iconSet" priority="52">
      <iconSet iconSet="3Symbols" showValue="0">
        <cfvo type="percent" val="0"/>
        <cfvo type="num" val="0" gte="0"/>
        <cfvo type="num" val="2"/>
      </iconSet>
    </cfRule>
  </conditionalFormatting>
  <conditionalFormatting sqref="X50">
    <cfRule type="iconSet" priority="50">
      <iconSet iconSet="3Symbols" showValue="0">
        <cfvo type="percent" val="0"/>
        <cfvo type="num" val="0" gte="0"/>
        <cfvo type="num" val="2"/>
      </iconSet>
    </cfRule>
  </conditionalFormatting>
  <conditionalFormatting sqref="X53">
    <cfRule type="iconSet" priority="48">
      <iconSet iconSet="3Symbols" showValue="0">
        <cfvo type="percent" val="0"/>
        <cfvo type="num" val="0" gte="0"/>
        <cfvo type="num" val="2"/>
      </iconSet>
    </cfRule>
  </conditionalFormatting>
  <conditionalFormatting sqref="P60 X60 T60 V60">
    <cfRule type="iconSet" priority="47">
      <iconSet iconSet="3Symbols" showValue="0">
        <cfvo type="percent" val="0"/>
        <cfvo type="num" val="0" gte="0"/>
        <cfvo type="num" val="2"/>
      </iconSet>
    </cfRule>
  </conditionalFormatting>
  <conditionalFormatting sqref="L62">
    <cfRule type="iconSet" priority="46">
      <iconSet iconSet="3Symbols" showValue="0">
        <cfvo type="percent" val="0"/>
        <cfvo type="num" val="0" gte="0"/>
        <cfvo type="num" val="2"/>
      </iconSet>
    </cfRule>
  </conditionalFormatting>
  <conditionalFormatting sqref="T62">
    <cfRule type="iconSet" priority="45">
      <iconSet iconSet="3Symbols" showValue="0">
        <cfvo type="percent" val="0"/>
        <cfvo type="num" val="0" gte="0"/>
        <cfvo type="num" val="2"/>
      </iconSet>
    </cfRule>
  </conditionalFormatting>
  <conditionalFormatting sqref="X62">
    <cfRule type="iconSet" priority="44">
      <iconSet iconSet="3Symbols" showValue="0">
        <cfvo type="percent" val="0"/>
        <cfvo type="num" val="0" gte="0"/>
        <cfvo type="num" val="2"/>
      </iconSet>
    </cfRule>
  </conditionalFormatting>
  <conditionalFormatting sqref="T65">
    <cfRule type="iconSet" priority="42">
      <iconSet iconSet="3Symbols" showValue="0">
        <cfvo type="percent" val="0"/>
        <cfvo type="num" val="0" gte="0"/>
        <cfvo type="num" val="2"/>
      </iconSet>
    </cfRule>
  </conditionalFormatting>
  <conditionalFormatting sqref="X65">
    <cfRule type="iconSet" priority="41">
      <iconSet iconSet="3Symbols" showValue="0">
        <cfvo type="percent" val="0"/>
        <cfvo type="num" val="0" gte="0"/>
        <cfvo type="num" val="2"/>
      </iconSet>
    </cfRule>
  </conditionalFormatting>
  <conditionalFormatting sqref="L65">
    <cfRule type="iconSet" priority="39">
      <iconSet iconSet="3Symbols" showValue="0">
        <cfvo type="percent" val="0"/>
        <cfvo type="num" val="0" gte="0"/>
        <cfvo type="num" val="2"/>
      </iconSet>
    </cfRule>
  </conditionalFormatting>
  <conditionalFormatting sqref="P65">
    <cfRule type="iconSet" priority="37">
      <iconSet iconSet="3Symbols" showValue="0">
        <cfvo type="percent" val="0"/>
        <cfvo type="num" val="0" gte="0"/>
        <cfvo type="num" val="2"/>
      </iconSet>
    </cfRule>
  </conditionalFormatting>
  <conditionalFormatting sqref="T82">
    <cfRule type="iconSet" priority="2440">
      <iconSet iconSet="3Symbols" showValue="0">
        <cfvo type="percent" val="0"/>
        <cfvo type="num" val="0" gte="0"/>
        <cfvo type="num" val="2"/>
      </iconSet>
    </cfRule>
  </conditionalFormatting>
  <conditionalFormatting sqref="U48:W50 M65:O65 I65:K65">
    <cfRule type="expression" dxfId="248" priority="2441">
      <formula>AND(#REF!="",#REF!&lt;&gt;"")</formula>
    </cfRule>
  </conditionalFormatting>
  <conditionalFormatting sqref="Q85:S86 Q88:S89">
    <cfRule type="expression" dxfId="247" priority="32">
      <formula>AND(#REF!="",#REF!&lt;&gt;"")</formula>
    </cfRule>
  </conditionalFormatting>
  <conditionalFormatting sqref="X72">
    <cfRule type="iconSet" priority="28">
      <iconSet iconSet="3Symbols" showValue="0">
        <cfvo type="percent" val="0"/>
        <cfvo type="num" val="0" gte="0"/>
        <cfvo type="num" val="2"/>
      </iconSet>
    </cfRule>
    <cfRule type="iconSet" priority="2444">
      <iconSet iconSet="3Symbols" showValue="0">
        <cfvo type="percent" val="0"/>
        <cfvo type="num" val="0" gte="0"/>
        <cfvo type="num" val="2"/>
      </iconSet>
    </cfRule>
  </conditionalFormatting>
  <conditionalFormatting sqref="X76 H6">
    <cfRule type="iconSet" priority="118">
      <iconSet iconSet="3Flags" showValue="0">
        <cfvo type="percent" val="0"/>
        <cfvo type="num" val="1"/>
        <cfvo type="num" val="2" gte="0"/>
      </iconSet>
    </cfRule>
  </conditionalFormatting>
  <conditionalFormatting sqref="I76:X76 M85 Q85 U85">
    <cfRule type="expression" dxfId="246" priority="26">
      <formula>$X$76=1</formula>
    </cfRule>
  </conditionalFormatting>
  <conditionalFormatting sqref="U73">
    <cfRule type="notContainsBlanks" dxfId="245" priority="25">
      <formula>LEN(TRIM(U73))&gt;0</formula>
    </cfRule>
  </conditionalFormatting>
  <conditionalFormatting sqref="Q51">
    <cfRule type="notContainsBlanks" dxfId="244" priority="24">
      <formula>LEN(TRIM(Q51))&gt;0</formula>
    </cfRule>
  </conditionalFormatting>
  <conditionalFormatting sqref="T72">
    <cfRule type="iconSet" priority="22">
      <iconSet iconSet="3Symbols" showValue="0">
        <cfvo type="percent" val="0"/>
        <cfvo type="num" val="0" gte="0"/>
        <cfvo type="num" val="2"/>
      </iconSet>
    </cfRule>
    <cfRule type="iconSet" priority="23">
      <iconSet iconSet="3Symbols" showValue="0">
        <cfvo type="percent" val="0"/>
        <cfvo type="num" val="0" gte="0"/>
        <cfvo type="num" val="2"/>
      </iconSet>
    </cfRule>
  </conditionalFormatting>
  <conditionalFormatting sqref="T74">
    <cfRule type="iconSet" priority="20">
      <iconSet iconSet="3Symbols" showValue="0">
        <cfvo type="percent" val="0"/>
        <cfvo type="num" val="0" gte="0"/>
        <cfvo type="num" val="2"/>
      </iconSet>
    </cfRule>
    <cfRule type="iconSet" priority="21">
      <iconSet iconSet="3Symbols" showValue="0">
        <cfvo type="percent" val="0"/>
        <cfvo type="num" val="0" gte="0"/>
        <cfvo type="num" val="2"/>
      </iconSet>
    </cfRule>
  </conditionalFormatting>
  <conditionalFormatting sqref="I74:S74">
    <cfRule type="expression" dxfId="243" priority="19">
      <formula>DATA_NONPROF_AGCY_NAME_OTHER_REQUIRED&lt;&gt;TRUE</formula>
    </cfRule>
  </conditionalFormatting>
  <conditionalFormatting sqref="M83">
    <cfRule type="notContainsBlanks" dxfId="242" priority="18">
      <formula>LEN(TRIM(M83))&gt;0</formula>
    </cfRule>
  </conditionalFormatting>
  <conditionalFormatting sqref="X28">
    <cfRule type="iconSet" priority="17">
      <iconSet iconSet="3Flags" showValue="0">
        <cfvo type="percent" val="0"/>
        <cfvo type="num" val="1"/>
        <cfvo type="num" val="2" gte="0"/>
      </iconSet>
    </cfRule>
  </conditionalFormatting>
  <conditionalFormatting sqref="I28:X28">
    <cfRule type="expression" dxfId="241" priority="16">
      <formula>$X$28=1</formula>
    </cfRule>
  </conditionalFormatting>
  <conditionalFormatting sqref="W29">
    <cfRule type="expression" dxfId="240" priority="14">
      <formula>$C$61=1</formula>
    </cfRule>
  </conditionalFormatting>
  <conditionalFormatting sqref="X58">
    <cfRule type="iconSet" priority="13">
      <iconSet iconSet="3Flags" showValue="0">
        <cfvo type="percent" val="0"/>
        <cfvo type="num" val="1"/>
        <cfvo type="num" val="2" gte="0"/>
      </iconSet>
    </cfRule>
  </conditionalFormatting>
  <conditionalFormatting sqref="I58:X58">
    <cfRule type="expression" dxfId="239" priority="12">
      <formula>$X$58=1</formula>
    </cfRule>
  </conditionalFormatting>
  <conditionalFormatting sqref="Q65:S65">
    <cfRule type="expression" dxfId="238" priority="11">
      <formula>$X$58=1</formula>
    </cfRule>
  </conditionalFormatting>
  <conditionalFormatting sqref="T119">
    <cfRule type="iconSet" priority="10">
      <iconSet iconSet="3Symbols" showValue="0">
        <cfvo type="percent" val="0"/>
        <cfvo type="num" val="0" gte="0"/>
        <cfvo type="num" val="2"/>
      </iconSet>
    </cfRule>
  </conditionalFormatting>
  <conditionalFormatting sqref="T119">
    <cfRule type="iconSet" priority="9">
      <iconSet iconSet="3Symbols" showValue="0">
        <cfvo type="percent" val="0"/>
        <cfvo type="num" val="0" gte="0"/>
        <cfvo type="num" val="2"/>
      </iconSet>
    </cfRule>
  </conditionalFormatting>
  <conditionalFormatting sqref="X119">
    <cfRule type="iconSet" priority="7">
      <iconSet iconSet="3Symbols" showValue="0">
        <cfvo type="percent" val="0"/>
        <cfvo type="num" val="0" gte="0"/>
        <cfvo type="num" val="2"/>
      </iconSet>
    </cfRule>
  </conditionalFormatting>
  <conditionalFormatting sqref="X119">
    <cfRule type="iconSet" priority="8">
      <iconSet iconSet="3Symbols" showValue="0">
        <cfvo type="percent" val="0"/>
        <cfvo type="num" val="0" gte="0"/>
        <cfvo type="num" val="2"/>
      </iconSet>
    </cfRule>
  </conditionalFormatting>
  <conditionalFormatting sqref="V19">
    <cfRule type="iconSet" priority="6">
      <iconSet iconSet="3Flags">
        <cfvo type="percent" val="0"/>
        <cfvo type="num" val="0" gte="0"/>
        <cfvo type="num" val="1000" gte="0"/>
      </iconSet>
    </cfRule>
  </conditionalFormatting>
  <conditionalFormatting sqref="W19:X19">
    <cfRule type="expression" dxfId="237" priority="3">
      <formula>($X19=0)</formula>
    </cfRule>
    <cfRule type="expression" dxfId="236" priority="4">
      <formula>($X19=2)</formula>
    </cfRule>
  </conditionalFormatting>
  <conditionalFormatting sqref="X19">
    <cfRule type="iconSet" priority="5">
      <iconSet iconSet="3Symbols2" showValue="0">
        <cfvo type="percent" val="0"/>
        <cfvo type="num" val="0" gte="0"/>
        <cfvo type="num" val="1" gte="0"/>
      </iconSet>
    </cfRule>
  </conditionalFormatting>
  <conditionalFormatting sqref="P62">
    <cfRule type="iconSet" priority="2">
      <iconSet iconSet="3Symbols" showValue="0">
        <cfvo type="percent" val="0"/>
        <cfvo type="num" val="0" gte="0"/>
        <cfvo type="num" val="2"/>
      </iconSet>
    </cfRule>
  </conditionalFormatting>
  <conditionalFormatting sqref="X87">
    <cfRule type="iconSet" priority="1">
      <iconSet iconSet="3Flags" showValue="0">
        <cfvo type="percent" val="0"/>
        <cfvo type="num" val="1"/>
        <cfvo type="num" val="2" gte="0"/>
      </iconSet>
    </cfRule>
  </conditionalFormatting>
  <conditionalFormatting sqref="P85:P86 P88:P89">
    <cfRule type="iconSet" priority="2467">
      <iconSet iconSet="3Symbols" showValue="0">
        <cfvo type="percent" val="0"/>
        <cfvo type="num" val="0" gte="0"/>
        <cfvo type="num" val="2"/>
      </iconSet>
    </cfRule>
  </conditionalFormatting>
  <conditionalFormatting sqref="T85:T86 T88:T89">
    <cfRule type="iconSet" priority="2469">
      <iconSet iconSet="3Symbols" showValue="0">
        <cfvo type="percent" val="0"/>
        <cfvo type="num" val="0" gte="0"/>
        <cfvo type="num" val="2"/>
      </iconSet>
    </cfRule>
  </conditionalFormatting>
  <conditionalFormatting sqref="X85:X86 X88:X89">
    <cfRule type="iconSet" priority="2471">
      <iconSet iconSet="3Symbols" showValue="0">
        <cfvo type="percent" val="0"/>
        <cfvo type="num" val="0" gte="0"/>
        <cfvo type="num" val="2"/>
      </iconSet>
    </cfRule>
  </conditionalFormatting>
  <conditionalFormatting sqref="L85:L86 L88:L89">
    <cfRule type="iconSet" priority="2473">
      <iconSet iconSet="3Symbols" showValue="0">
        <cfvo type="percent" val="0"/>
        <cfvo type="num" val="0" gte="0"/>
        <cfvo type="num" val="2"/>
      </iconSet>
    </cfRule>
  </conditionalFormatting>
  <dataValidations xWindow="41" yWindow="456" count="37">
    <dataValidation type="textLength" allowBlank="1" showInputMessage="1" showErrorMessage="1" error="Maximum Number of Characters Exceeded" sqref="I24" xr:uid="{F4DC11C5-92B1-40BD-9EFA-78E40F8E595F}">
      <formula1>E19</formula1>
      <formula2>F19</formula2>
    </dataValidation>
    <dataValidation type="list" allowBlank="1" showInputMessage="1" showErrorMessage="1" error="Select 'Yes' or 'No'" sqref="W29 Q65 W53 U65" xr:uid="{8A14BA1F-24F4-4EC0-B19B-D47FE0B54DB2}">
      <formula1>RANGE_LOOKUP_YESNO</formula1>
    </dataValidation>
    <dataValidation type="whole" allowBlank="1" showInputMessage="1" showErrorMessage="1" error="Invalid Zip Code Entered" sqref="W60 W41" xr:uid="{F1901963-2620-485F-9FF6-2FE4BEDCAFA1}">
      <formula1>1</formula1>
      <formula2>99999</formula2>
    </dataValidation>
    <dataValidation type="custom" showInputMessage="1" showErrorMessage="1" errorTitle="No Data Entry" error="Field is Read-Only" sqref="H15" xr:uid="{EAAB4F22-DEAC-4DFF-8D12-11A061C8E59D}">
      <formula1>"&lt;0&gt;0"</formula1>
    </dataValidation>
    <dataValidation type="list" allowBlank="1" showInputMessage="1" showErrorMessage="1" sqref="K34:K36" xr:uid="{3EFC1446-B3DE-4DA8-AACE-8DB1D857C9C4}">
      <formula1>RANGE_LOOKUP_PREFIX</formula1>
    </dataValidation>
    <dataValidation type="list" allowBlank="1" showInputMessage="1" showErrorMessage="1" error="_x000a_" sqref="W34:W36" xr:uid="{ED0E4BA6-BFDA-4369-ADA3-134F9FE4E31B}">
      <formula1>RANGE_LOOKUP_MARITALSTATUS</formula1>
    </dataValidation>
    <dataValidation type="list" allowBlank="1" showInputMessage="1" showErrorMessage="1" error="An invalid State has been specified" sqref="U60" xr:uid="{0BFE1BE6-8C8F-4F0A-8A09-723610765D35}">
      <formula1>RANGE_LOOKUP_STATE</formula1>
    </dataValidation>
    <dataValidation type="list" allowBlank="1" showInputMessage="1" showErrorMessage="1" sqref="I43:O43" xr:uid="{9FE609D8-06E4-4EBB-8ADB-40E76F8C670A}">
      <formula1>IF($U$41&lt;&gt;"",INDIRECT("COUNTY_RANGE_"&amp;$U$41),INDIRECT("RANGE_LOOKUP_COUNTY_PLACEHOLDER"))</formula1>
    </dataValidation>
    <dataValidation type="whole" allowBlank="1" showInputMessage="1" showErrorMessage="1" error="Please enter a valid MSA Code (eg: 55555)_x000a_" sqref="Q43:S43 Q62:S62" xr:uid="{948786B6-1054-4AD5-A03E-440F5D8B5C5E}">
      <formula1>1</formula1>
      <formula2>99999</formula2>
    </dataValidation>
    <dataValidation type="whole" allowBlank="1" showInputMessage="1" showErrorMessage="1" error="Invalid Census Entered" sqref="U43 U62" xr:uid="{E1E6440E-FD90-4741-9A1F-2B00EEBFFB69}">
      <formula1>1</formula1>
      <formula2>9999</formula2>
    </dataValidation>
    <dataValidation type="whole" allowBlank="1" showInputMessage="1" showErrorMessage="1" error="Invalid Census Tract Entered" sqref="W62 W43" xr:uid="{95ED0399-4C52-423E-81EE-38E201404CE5}">
      <formula1>0</formula1>
      <formula2>99</formula2>
    </dataValidation>
    <dataValidation type="list" allowBlank="1" showInputMessage="1" showErrorMessage="1" sqref="I62" xr:uid="{1E9AB705-B7DB-4D79-81C0-DBEC93126885}">
      <formula1>IF($U$60&lt;&gt;"",INDIRECT("COUNTY_RANGE_"&amp;$U$60),INDIRECT("RANGE_LOOKUP_COUNTY_PLACEHOLDER"))</formula1>
    </dataValidation>
    <dataValidation type="list" allowBlank="1" showInputMessage="1" showErrorMessage="1" sqref="M65:O65" xr:uid="{D4DEBE8C-FFC7-4F68-B025-46F001247FE9}">
      <formula1>RANGE_LOOKUP_PROPTY_BLDG_TYPE_UI</formula1>
    </dataValidation>
    <dataValidation type="decimal" allowBlank="1" showInputMessage="1" showErrorMessage="1" sqref="Q85:S85" xr:uid="{DEBA1F0E-0D9D-440C-89A8-2025401F98AD}">
      <formula1>I133</formula1>
      <formula2>J133</formula2>
    </dataValidation>
    <dataValidation type="date" operator="greaterThanOrEqual" allowBlank="1" showInputMessage="1" showErrorMessage="1" sqref="U72:W72" xr:uid="{BB58DE64-12B5-43D8-8CAE-F6505D22467B}">
      <formula1>36526</formula1>
    </dataValidation>
    <dataValidation type="list" allowBlank="1" showInputMessage="1" showErrorMessage="1" error="An invalid State has been specified" sqref="U41" xr:uid="{F9D03FA9-8044-4381-A292-9A3961A473E1}">
      <formula1>RANGE_LOOKUP_STATE_ALLSTATES</formula1>
    </dataValidation>
    <dataValidation type="list" allowBlank="1" showInputMessage="1" showErrorMessage="1" error="Invalid Homeownership Counseling Agency Specified" sqref="I72" xr:uid="{6F6A9957-9CE5-4332-897F-F0B9B41204E6}">
      <formula1>RANGE_LOOKUP_COUNSELING_AGENCIES</formula1>
    </dataValidation>
    <dataValidation type="textLength" allowBlank="1" showInputMessage="1" showErrorMessage="1" error="Maximum Number of Characters Exceeded" sqref="I74:S74" xr:uid="{2861BF90-27D4-45B9-A539-E73FF332E29C}">
      <formula1>$E112</formula1>
      <formula2>$F112</formula2>
    </dataValidation>
    <dataValidation type="date" operator="greaterThanOrEqual" allowBlank="1" showErrorMessage="1" sqref="U119:W119" xr:uid="{22E75203-A976-4EC9-8A68-E6798A306F27}">
      <formula1>43466</formula1>
    </dataValidation>
    <dataValidation type="textLength" allowBlank="1" showInputMessage="1" showErrorMessage="1" error="Maximum Number of Characters Exceeded" sqref="I119" xr:uid="{3739D35D-4A51-468C-9DF4-2B25ED6B5700}">
      <formula1>E127</formula1>
      <formula2>F127</formula2>
    </dataValidation>
    <dataValidation type="whole" allowBlank="1" showInputMessage="1" showErrorMessage="1" error="Invalid County Code Entered" sqref="M62:O62" xr:uid="{0B92E6D0-0A98-46B3-B352-A9E508312A57}">
      <formula1>1</formula1>
      <formula2>999</formula2>
    </dataValidation>
    <dataValidation type="textLength" allowBlank="1" showInputMessage="1" showErrorMessage="1" error="Maximum Number of Characters Exceeded" sqref="I60:O60" xr:uid="{585C1357-0903-4081-9BFA-EE793523F5A9}">
      <formula1>E80</formula1>
      <formula2>F80</formula2>
    </dataValidation>
    <dataValidation type="textLength" allowBlank="1" showInputMessage="1" showErrorMessage="1" error="Maximum Number of Characters Exceeded_x000a_" sqref="Q34:U34" xr:uid="{C85CF335-B671-4181-A4C9-99EE19F9B6EB}">
      <formula1>E36</formula1>
      <formula2>F36</formula2>
    </dataValidation>
    <dataValidation type="textLength" allowBlank="1" showInputMessage="1" showErrorMessage="1" error="Maximum Number of Characters Exceeded" sqref="M34:O34" xr:uid="{54B3DDC8-D45A-4EDF-94E6-69B3185AA84B}">
      <formula1>E35</formula1>
      <formula2>F35</formula2>
    </dataValidation>
    <dataValidation type="textLength" allowBlank="1" showInputMessage="1" showErrorMessage="1" error="Maximum Number of Characters Exceeded" sqref="M35:O35" xr:uid="{D4579DED-FC67-4F87-93BC-D55A0206209D}">
      <formula1>E39</formula1>
      <formula2>F39</formula2>
    </dataValidation>
    <dataValidation type="textLength" allowBlank="1" showInputMessage="1" showErrorMessage="1" error="Maximum Number of Characters Exceeded_x000a_" sqref="Q35:U35" xr:uid="{1D6DD19C-C33C-49FF-983B-58C359C13E62}">
      <formula1>E40</formula1>
      <formula2>F40</formula2>
    </dataValidation>
    <dataValidation type="textLength" allowBlank="1" showInputMessage="1" showErrorMessage="1" error="Maximum Number of Characters Exceeded" sqref="M36:O36" xr:uid="{38F89237-E3F9-4E38-BE00-182E885B29CB}">
      <formula1>E43</formula1>
      <formula2>F43</formula2>
    </dataValidation>
    <dataValidation type="textLength" allowBlank="1" showInputMessage="1" showErrorMessage="1" error="Maximum Number of Characters Exceeded_x000a_" sqref="Q36:U36" xr:uid="{63BD0C62-DCF1-47EF-BB8B-5D17CB53B1B7}">
      <formula1>E44</formula1>
      <formula2>F44</formula2>
    </dataValidation>
    <dataValidation type="textLength" allowBlank="1" showInputMessage="1" showErrorMessage="1" error="Maximum Number of Characters Exceeded" sqref="I41:O41" xr:uid="{830B1A69-9894-4C8D-B5AA-A2A1D4E87AE6}">
      <formula1>E46</formula1>
      <formula2>F46</formula2>
    </dataValidation>
    <dataValidation type="textLength" allowBlank="1" showInputMessage="1" showErrorMessage="1" error="Maximum Number of Characters Exceeded" sqref="Q41:S41" xr:uid="{711ED34D-3AA7-42B9-893F-D0C97DB15AF0}">
      <formula1>E47</formula1>
      <formula2>F47</formula2>
    </dataValidation>
    <dataValidation type="decimal" allowBlank="1" showInputMessage="1" showErrorMessage="1" error="Invalid Grant Amount Requested" sqref="U48:W48" xr:uid="{FE971B0E-8976-488E-8A42-50C2D1F94298}">
      <formula1>E65</formula1>
      <formula2>F65</formula2>
    </dataValidation>
    <dataValidation type="decimal" allowBlank="1" showInputMessage="1" showErrorMessage="1" error="Invalid Counseling Cost Defrayment Amount" sqref="U49:W50" xr:uid="{07497837-19C2-4E3C-9703-EE897911CE93}">
      <formula1>E66</formula1>
      <formula2>F66</formula2>
    </dataValidation>
    <dataValidation type="textLength" allowBlank="1" showInputMessage="1" showErrorMessage="1" error="Maximum Number of Characters Exceeded" sqref="Q60:S60" xr:uid="{81956E29-3512-4541-957D-F23F4D702A22}">
      <formula1>E81</formula1>
      <formula2>F81</formula2>
    </dataValidation>
    <dataValidation type="decimal" allowBlank="1" showInputMessage="1" showErrorMessage="1" sqref="I65:K65" xr:uid="{7C724F9A-90F0-4466-8627-1CAA62CE56CC}">
      <formula1>E89</formula1>
      <formula2>F89</formula2>
    </dataValidation>
    <dataValidation type="textLength" allowBlank="1" showInputMessage="1" showErrorMessage="1" error="Maximum Number of Characters Exceeded" sqref="I121:Q121" xr:uid="{A4BFDA35-1C65-46ED-920F-E571C2B0D420}">
      <formula1>E130</formula1>
      <formula2>F130</formula2>
    </dataValidation>
    <dataValidation type="textLength" allowBlank="1" showInputMessage="1" showErrorMessage="1" error="Maximum Number of Characters Exceeded" sqref="O119:S119" xr:uid="{E88D6962-58A8-4B10-AD11-4749B888DAFF}">
      <formula1>E128</formula1>
      <formula2>F128</formula2>
    </dataValidation>
    <dataValidation type="textLength" allowBlank="1" showInputMessage="1" showErrorMessage="1" error="Invalid Phone Number Entered" sqref="S121:W121" xr:uid="{6F758593-2D7F-4FA3-A273-E2F4A137CC47}">
      <formula1>E131</formula1>
      <formula2>F131</formula2>
    </dataValidation>
  </dataValidations>
  <pageMargins left="0.25" right="0.25" top="0.5" bottom="0.5" header="0.3" footer="0.3"/>
  <pageSetup scale="90" fitToHeight="0" orientation="portrait" r:id="rId1"/>
  <headerFooter>
    <oddFooter>&amp;R&amp;8&amp;P of &amp;N</oddFooter>
  </headerFooter>
  <rowBreaks count="3" manualBreakCount="3">
    <brk id="37" min="7" max="24" man="1"/>
    <brk id="66" min="7" max="24" man="1"/>
    <brk id="90" min="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2" r:id="rId4" name="ICW_COMPLETE_FLAG">
              <controlPr defaultSize="0" autoFill="0" autoLine="0" autoPict="0">
                <anchor moveWithCells="1">
                  <from>
                    <xdr:col>12</xdr:col>
                    <xdr:colOff>190500</xdr:colOff>
                    <xdr:row>81</xdr:row>
                    <xdr:rowOff>19050</xdr:rowOff>
                  </from>
                  <to>
                    <xdr:col>18</xdr:col>
                    <xdr:colOff>552450</xdr:colOff>
                    <xdr:row>81</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DDCFBC6-6DAE-49A0-9581-3FFF6CC4ABBD}">
            <x14:dataBar direction="leftToRight" axisPosition="none">
              <x14:cfvo type="num">
                <xm:f>0</xm:f>
              </x14:cfvo>
              <x14:cfvo type="num">
                <xm:f>1</xm:f>
              </x14:cfvo>
              <x14:negativeFillColor theme="5"/>
            </x14:dataBar>
          </x14:cfRule>
          <xm:sqref>S3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Y213"/>
  <sheetViews>
    <sheetView showGridLines="0" showRowColHeaders="0" zoomScaleNormal="100" zoomScaleSheetLayoutView="100" workbookViewId="0">
      <pane ySplit="4" topLeftCell="A5" activePane="bottomLeft" state="frozen"/>
      <selection activeCell="H1" sqref="H1"/>
      <selection pane="bottomLeft" activeCell="H5" sqref="H5"/>
    </sheetView>
  </sheetViews>
  <sheetFormatPr defaultColWidth="0" defaultRowHeight="15" customHeight="1" zeroHeight="1" x14ac:dyDescent="0.25"/>
  <cols>
    <col min="1" max="1" width="27.5703125" style="70" hidden="1" customWidth="1"/>
    <col min="2" max="7" width="15.7109375" style="70" hidden="1" customWidth="1"/>
    <col min="8" max="8" width="2.42578125" customWidth="1"/>
    <col min="9" max="9" width="10.7109375" customWidth="1"/>
    <col min="10" max="10" width="2.7109375" style="47" customWidth="1"/>
    <col min="11" max="11" width="10.7109375" customWidth="1"/>
    <col min="12" max="12" width="2.7109375" style="47" customWidth="1"/>
    <col min="13" max="13" width="10.7109375" customWidth="1"/>
    <col min="14" max="14" width="2.7109375" style="47" customWidth="1"/>
    <col min="15" max="15" width="10.7109375" customWidth="1"/>
    <col min="16" max="16" width="2.7109375" style="47" customWidth="1"/>
    <col min="17" max="17" width="10.7109375" customWidth="1"/>
    <col min="18" max="18" width="2.7109375" style="47" customWidth="1"/>
    <col min="19" max="19" width="10.7109375" customWidth="1"/>
    <col min="20" max="20" width="2.7109375" style="47" customWidth="1"/>
    <col min="21" max="21" width="10.7109375" customWidth="1"/>
    <col min="22" max="22" width="2.7109375" style="47" customWidth="1"/>
    <col min="23" max="23" width="10.7109375" customWidth="1"/>
    <col min="24" max="24" width="2.7109375" style="47" customWidth="1"/>
    <col min="25" max="25" width="2.42578125" customWidth="1"/>
    <col min="26" max="16384" width="9.140625" hidden="1"/>
  </cols>
  <sheetData>
    <row r="1" spans="1:25" ht="40.5" customHeight="1" thickBot="1" x14ac:dyDescent="0.3">
      <c r="A1" s="46" t="s">
        <v>182</v>
      </c>
      <c r="B1" s="46" t="s">
        <v>181</v>
      </c>
      <c r="C1" s="46" t="s">
        <v>178</v>
      </c>
      <c r="D1" s="46" t="s">
        <v>179</v>
      </c>
      <c r="E1" s="46" t="s">
        <v>176</v>
      </c>
      <c r="F1" s="46" t="s">
        <v>177</v>
      </c>
      <c r="G1" s="89" t="s">
        <v>180</v>
      </c>
      <c r="H1" s="87"/>
      <c r="I1" s="87"/>
      <c r="J1" s="88"/>
      <c r="K1" s="87"/>
      <c r="L1" s="88"/>
      <c r="M1" s="87"/>
      <c r="N1" s="88"/>
      <c r="O1" s="87"/>
      <c r="P1" s="88"/>
      <c r="Q1" s="87"/>
      <c r="R1" s="88"/>
      <c r="S1" s="87"/>
      <c r="T1" s="88"/>
      <c r="U1" s="87"/>
      <c r="V1" s="88"/>
      <c r="W1" s="87"/>
      <c r="X1" s="88"/>
      <c r="Y1" s="87"/>
    </row>
    <row r="2" spans="1:25" ht="3" customHeight="1" x14ac:dyDescent="0.25">
      <c r="A2" s="48"/>
      <c r="B2" s="48"/>
      <c r="C2" s="48"/>
      <c r="D2" s="48"/>
      <c r="E2" s="48"/>
      <c r="F2" s="48"/>
      <c r="G2" s="48"/>
      <c r="H2" s="49"/>
      <c r="I2" s="78"/>
      <c r="J2" s="78"/>
      <c r="K2" s="78"/>
      <c r="L2" s="78"/>
      <c r="M2" s="78"/>
      <c r="N2" s="78"/>
      <c r="O2" s="78"/>
      <c r="P2" s="79"/>
      <c r="Q2" s="79"/>
      <c r="R2" s="50"/>
      <c r="S2" s="51"/>
      <c r="T2" s="50"/>
      <c r="U2" s="50"/>
      <c r="V2" s="50"/>
      <c r="W2" s="50"/>
      <c r="X2" s="50"/>
      <c r="Y2" s="50"/>
    </row>
    <row r="3" spans="1:25" ht="15" customHeight="1" x14ac:dyDescent="0.25">
      <c r="A3" s="48"/>
      <c r="B3" s="48"/>
      <c r="C3" s="48"/>
      <c r="D3" s="48"/>
      <c r="E3" s="48"/>
      <c r="F3" s="48"/>
      <c r="G3" s="48"/>
      <c r="H3" s="52"/>
      <c r="I3" s="78" t="str">
        <f ca="1">(LEFT($B$8,40)&amp;IF(LEN($B$8)&gt;40,"…",""))</f>
        <v>Household Not Yet Specified</v>
      </c>
      <c r="J3" s="78"/>
      <c r="K3" s="78"/>
      <c r="L3" s="78"/>
      <c r="M3" s="78"/>
      <c r="N3" s="78"/>
      <c r="O3" s="78"/>
      <c r="P3" s="79"/>
      <c r="Q3" s="79"/>
      <c r="R3" s="79" t="s">
        <v>2155</v>
      </c>
      <c r="S3" s="144" t="str">
        <f ca="1">IF('$DB.DATA'!G11="DSB",VLOOKUP("APP_PROGRESS_PCT_COMPLETE",DB_TBL_DATA_FIELDS[[FIELD_ID]:[FIELD_VALUE_CLEAN]],10,FALSE),"N/A")</f>
        <v>N/A</v>
      </c>
      <c r="T3" s="128" t="str">
        <f ca="1">IF(DATA_APP_PROGRESS_ERROR_COUNT&gt;0,0,IF(DATA_EFORM_COMPLETE_FLAG,2,""))</f>
        <v/>
      </c>
      <c r="U3" s="52"/>
      <c r="V3" s="53"/>
      <c r="W3" s="52"/>
      <c r="X3" s="53"/>
      <c r="Y3" s="52"/>
    </row>
    <row r="4" spans="1:25" ht="3" customHeight="1" x14ac:dyDescent="0.25">
      <c r="A4" s="48"/>
      <c r="B4" s="48"/>
      <c r="C4" s="48"/>
      <c r="D4" s="48"/>
      <c r="E4" s="48"/>
      <c r="F4" s="48"/>
      <c r="G4" s="48"/>
      <c r="H4" s="37"/>
      <c r="I4" s="90"/>
      <c r="J4" s="90"/>
      <c r="K4" s="90"/>
      <c r="L4" s="90"/>
      <c r="M4" s="90"/>
      <c r="N4" s="90"/>
      <c r="O4" s="90"/>
      <c r="P4" s="91"/>
      <c r="Q4" s="91"/>
      <c r="R4" s="92"/>
      <c r="S4" s="37"/>
      <c r="T4" s="92"/>
      <c r="U4" s="37"/>
      <c r="V4" s="92"/>
      <c r="W4" s="37"/>
      <c r="X4" s="92"/>
      <c r="Y4" s="37"/>
    </row>
    <row r="5" spans="1:25" ht="3.95" customHeight="1" x14ac:dyDescent="0.25">
      <c r="A5" s="48"/>
      <c r="B5" s="48"/>
      <c r="C5" s="48"/>
      <c r="D5" s="48"/>
      <c r="E5" s="48"/>
      <c r="F5" s="48"/>
      <c r="G5" s="48"/>
      <c r="H5" s="42"/>
      <c r="I5" s="82"/>
      <c r="J5" s="82"/>
      <c r="K5" s="82"/>
      <c r="L5" s="82"/>
      <c r="M5" s="82"/>
      <c r="N5" s="82"/>
      <c r="O5" s="82"/>
      <c r="P5" s="83"/>
      <c r="Q5" s="83"/>
    </row>
    <row r="6" spans="1:25" ht="18" customHeight="1" x14ac:dyDescent="0.25">
      <c r="A6" s="54" t="s">
        <v>32</v>
      </c>
      <c r="B6" s="100" t="str">
        <f>CONFIG_SA_PROGRAM_NAME&amp;CONFIG_TRADEMARK_ID&amp;" "&amp;"Request Form - "&amp;CONFIG_ENROLL_PERD_DESC</f>
        <v>Homebuyer Dream Program® Request Form - 2023 Round</v>
      </c>
      <c r="C6" s="54"/>
      <c r="D6" s="54"/>
      <c r="E6" s="54"/>
      <c r="F6" s="54"/>
      <c r="G6" s="54"/>
      <c r="H6" s="62" t="str">
        <f ca="1">B11</f>
        <v/>
      </c>
      <c r="I6" s="304" t="str">
        <f ca="1">B12</f>
        <v/>
      </c>
      <c r="J6" s="304"/>
      <c r="K6" s="304"/>
      <c r="L6" s="304"/>
      <c r="M6" s="304"/>
      <c r="N6" s="304"/>
      <c r="O6" s="304"/>
      <c r="P6" s="304"/>
      <c r="Q6" s="304"/>
      <c r="R6" s="304"/>
      <c r="S6" s="304"/>
      <c r="T6" s="304"/>
      <c r="U6" s="304"/>
      <c r="V6" s="304"/>
      <c r="W6" s="304"/>
      <c r="X6" s="304"/>
      <c r="Y6" s="304"/>
    </row>
    <row r="7" spans="1:25" ht="3.95" customHeight="1" x14ac:dyDescent="0.25">
      <c r="A7" s="54" t="s">
        <v>2232</v>
      </c>
      <c r="B7" s="100" t="str">
        <f>VLOOKUP(A7,DB_TBL_CONFIG_APP[#All],4,FALSE)</f>
        <v>Funding Request</v>
      </c>
      <c r="C7" s="54"/>
      <c r="D7" s="54"/>
      <c r="E7" s="54"/>
      <c r="F7" s="54"/>
      <c r="G7" s="54"/>
      <c r="H7" s="62"/>
      <c r="I7" s="62"/>
      <c r="J7" s="62"/>
      <c r="K7" s="62"/>
      <c r="L7" s="62"/>
      <c r="M7" s="62"/>
      <c r="N7" s="62"/>
      <c r="O7" s="62"/>
      <c r="P7" s="62"/>
      <c r="Q7" s="62"/>
      <c r="R7" s="62"/>
      <c r="S7" s="62"/>
      <c r="T7" s="62"/>
      <c r="U7" s="62"/>
      <c r="V7" s="62"/>
      <c r="W7" s="62"/>
      <c r="X7" s="62"/>
      <c r="Y7" s="62"/>
    </row>
    <row r="8" spans="1:25" s="39" customFormat="1" ht="21.95" customHeight="1" thickBot="1" x14ac:dyDescent="0.25">
      <c r="A8" s="54" t="s">
        <v>2380</v>
      </c>
      <c r="B8" s="100" t="str">
        <f ca="1">IF(DATA_HSEHLD_BANNER="","Household Not Yet Specified",DATA_HSEHLD_BANNER)</f>
        <v>Household Not Yet Specified</v>
      </c>
      <c r="C8" s="57"/>
      <c r="D8" s="57"/>
      <c r="E8" s="54"/>
      <c r="F8" s="54"/>
      <c r="G8" s="54"/>
      <c r="H8" s="62"/>
      <c r="I8" s="125" t="s">
        <v>2383</v>
      </c>
      <c r="J8" s="126"/>
      <c r="K8" s="126"/>
      <c r="L8" s="126"/>
      <c r="M8" s="126"/>
      <c r="N8" s="126"/>
      <c r="O8" s="126"/>
      <c r="P8" s="126"/>
      <c r="Q8" s="126"/>
      <c r="R8" s="126"/>
      <c r="S8" s="126"/>
      <c r="T8" s="126"/>
      <c r="U8" s="126"/>
      <c r="V8" s="126"/>
      <c r="W8" s="126"/>
      <c r="X8" s="126"/>
      <c r="Y8" s="62"/>
    </row>
    <row r="9" spans="1:25" s="39" customFormat="1" ht="99.75" customHeight="1" x14ac:dyDescent="0.25">
      <c r="A9" s="57" t="s">
        <v>2169</v>
      </c>
      <c r="B9" s="68">
        <f ca="1">SUM(B29,B43,B58,B88,B111)</f>
        <v>0</v>
      </c>
      <c r="C9" s="57"/>
      <c r="D9" s="57"/>
      <c r="E9" s="57"/>
      <c r="F9" s="57"/>
      <c r="G9" s="57"/>
      <c r="H9" s="62"/>
      <c r="I9" s="310" t="s">
        <v>2936</v>
      </c>
      <c r="J9" s="310"/>
      <c r="K9" s="310"/>
      <c r="L9" s="310"/>
      <c r="M9" s="310"/>
      <c r="N9" s="310"/>
      <c r="O9" s="310"/>
      <c r="P9" s="310"/>
      <c r="Q9" s="310"/>
      <c r="R9" s="310"/>
      <c r="S9" s="310"/>
      <c r="T9" s="310"/>
      <c r="U9" s="310"/>
      <c r="V9" s="310"/>
      <c r="W9" s="310"/>
      <c r="X9" s="310"/>
      <c r="Y9" s="62"/>
    </row>
    <row r="10" spans="1:25" s="39" customFormat="1" ht="9.9499999999999993" customHeight="1" x14ac:dyDescent="0.25">
      <c r="A10" s="57" t="s">
        <v>2170</v>
      </c>
      <c r="B10" s="68" t="b">
        <f ca="1">B9&gt;0</f>
        <v>0</v>
      </c>
      <c r="C10" s="57"/>
      <c r="D10" s="57"/>
      <c r="E10" s="57"/>
      <c r="F10" s="57"/>
      <c r="G10" s="57"/>
      <c r="H10" s="62"/>
      <c r="I10" s="62"/>
      <c r="J10" s="62"/>
      <c r="K10" s="62"/>
      <c r="L10" s="62"/>
      <c r="M10" s="62"/>
      <c r="N10" s="62"/>
      <c r="O10" s="62"/>
      <c r="P10" s="62"/>
      <c r="Q10" s="62"/>
      <c r="R10" s="62"/>
      <c r="S10" s="62"/>
      <c r="T10" s="62"/>
      <c r="U10" s="62"/>
      <c r="V10" s="62"/>
      <c r="W10" s="62"/>
      <c r="X10" s="62"/>
      <c r="Y10" s="62"/>
    </row>
    <row r="11" spans="1:25" s="39" customFormat="1" ht="21.95" customHeight="1" thickBot="1" x14ac:dyDescent="0.3">
      <c r="A11" s="57" t="s">
        <v>2171</v>
      </c>
      <c r="B11" s="68" t="str">
        <f ca="1">IF(B10,1,"")</f>
        <v/>
      </c>
      <c r="C11" s="57"/>
      <c r="D11" s="57"/>
      <c r="E11" s="57"/>
      <c r="F11" s="57"/>
      <c r="G11" s="57"/>
      <c r="H11" s="62"/>
      <c r="I11" s="125" t="s">
        <v>2930</v>
      </c>
      <c r="J11" s="126"/>
      <c r="K11" s="126"/>
      <c r="L11" s="126"/>
      <c r="M11" s="126"/>
      <c r="N11" s="126"/>
      <c r="O11" s="126"/>
      <c r="P11" s="126"/>
      <c r="Q11" s="126"/>
      <c r="R11" s="126"/>
      <c r="S11" s="126"/>
      <c r="T11" s="126"/>
      <c r="U11" s="126"/>
      <c r="V11" s="126"/>
      <c r="W11" s="126"/>
      <c r="X11" s="126"/>
      <c r="Y11" s="62"/>
    </row>
    <row r="12" spans="1:25" s="39" customFormat="1" ht="6.75" customHeight="1" x14ac:dyDescent="0.2">
      <c r="A12" s="57" t="s">
        <v>2172</v>
      </c>
      <c r="B12" s="100" t="str">
        <f ca="1">IF(B10,B9&amp;" "&amp;'$DB.CONFIG'!$M$4,"")</f>
        <v/>
      </c>
      <c r="C12" s="57"/>
      <c r="D12" s="57"/>
      <c r="E12" s="57"/>
      <c r="F12" s="57"/>
      <c r="G12" s="57"/>
      <c r="H12" s="62"/>
      <c r="I12" s="63"/>
      <c r="J12" s="62"/>
      <c r="K12" s="62"/>
      <c r="L12" s="62"/>
      <c r="M12" s="62"/>
      <c r="N12" s="62"/>
      <c r="O12" s="62"/>
      <c r="P12" s="62"/>
      <c r="Q12" s="62"/>
      <c r="R12" s="62"/>
      <c r="S12" s="62"/>
      <c r="T12" s="62"/>
      <c r="U12" s="62"/>
      <c r="V12" s="62"/>
      <c r="W12" s="62"/>
      <c r="X12" s="62"/>
      <c r="Y12" s="62"/>
    </row>
    <row r="13" spans="1:25" s="39" customFormat="1" ht="21.95" customHeight="1" x14ac:dyDescent="0.25">
      <c r="A13" s="57"/>
      <c r="B13" s="57"/>
      <c r="C13" s="57"/>
      <c r="D13" s="57"/>
      <c r="E13" s="57"/>
      <c r="F13" s="57"/>
      <c r="G13" s="57"/>
      <c r="H13"/>
      <c r="I13" s="56" t="s">
        <v>25</v>
      </c>
      <c r="J13" s="81">
        <f>1</f>
        <v>1</v>
      </c>
      <c r="K13" s="77"/>
      <c r="L13" s="77"/>
      <c r="M13" s="56" t="s">
        <v>2203</v>
      </c>
      <c r="N13" s="81">
        <f>2</f>
        <v>2</v>
      </c>
      <c r="Q13" s="56" t="s">
        <v>2204</v>
      </c>
      <c r="R13" s="81">
        <f>0</f>
        <v>0</v>
      </c>
      <c r="U13" s="307" t="s">
        <v>2205</v>
      </c>
      <c r="V13" s="308"/>
      <c r="W13" s="308"/>
      <c r="X13" s="309"/>
      <c r="Y13"/>
    </row>
    <row r="14" spans="1:25" s="39" customFormat="1" ht="21.95" customHeight="1" x14ac:dyDescent="0.25">
      <c r="A14" s="57"/>
      <c r="B14" s="57"/>
      <c r="C14" s="57"/>
      <c r="D14" s="57"/>
      <c r="E14" s="57"/>
      <c r="F14" s="57"/>
      <c r="G14" s="57"/>
      <c r="H14"/>
      <c r="I14"/>
      <c r="J14" s="47"/>
      <c r="K14"/>
      <c r="L14" s="47"/>
      <c r="M14"/>
      <c r="N14" s="47"/>
      <c r="O14"/>
      <c r="P14" s="47"/>
      <c r="Q14"/>
      <c r="R14" s="47"/>
      <c r="S14"/>
      <c r="T14" s="47"/>
      <c r="U14"/>
      <c r="V14" s="47"/>
      <c r="W14"/>
      <c r="X14" s="47"/>
      <c r="Y14"/>
    </row>
    <row r="15" spans="1:25" s="39" customFormat="1" ht="21.95" customHeight="1" thickBot="1" x14ac:dyDescent="0.3">
      <c r="A15" s="57"/>
      <c r="B15" s="57"/>
      <c r="C15" s="57"/>
      <c r="D15" s="57"/>
      <c r="E15" s="57"/>
      <c r="F15" s="57"/>
      <c r="G15" s="57"/>
      <c r="I15" s="58" t="s">
        <v>189</v>
      </c>
      <c r="J15" s="58"/>
      <c r="K15" s="58"/>
      <c r="L15" s="58"/>
      <c r="M15" s="58"/>
      <c r="N15" s="58"/>
      <c r="O15" s="58"/>
      <c r="P15" s="58"/>
      <c r="Q15" s="58"/>
      <c r="R15" s="58"/>
      <c r="S15" s="58"/>
      <c r="T15" s="58"/>
      <c r="U15" s="58"/>
      <c r="V15" s="58"/>
      <c r="W15" s="58"/>
      <c r="X15" s="59"/>
    </row>
    <row r="16" spans="1:25" s="39" customFormat="1" ht="21.95" customHeight="1" x14ac:dyDescent="0.25">
      <c r="A16" s="57"/>
      <c r="B16" s="57"/>
      <c r="C16" s="57"/>
      <c r="D16" s="57"/>
      <c r="E16" s="57"/>
      <c r="F16" s="57"/>
      <c r="G16" s="57"/>
      <c r="H16" s="60"/>
      <c r="I16" s="40"/>
      <c r="J16" s="40"/>
      <c r="K16" s="40"/>
      <c r="L16" s="40"/>
      <c r="M16" s="40"/>
      <c r="N16" s="40"/>
      <c r="O16" s="61"/>
      <c r="P16" s="61"/>
      <c r="Q16" s="40"/>
      <c r="R16" s="40"/>
      <c r="S16" s="40"/>
      <c r="T16" s="40"/>
      <c r="U16" s="40"/>
      <c r="V16" s="40"/>
      <c r="W16" s="40"/>
      <c r="X16" s="40"/>
    </row>
    <row r="17" spans="1:25" s="39" customFormat="1" ht="21.95" customHeight="1" x14ac:dyDescent="0.25">
      <c r="A17" s="57"/>
      <c r="B17" s="57"/>
      <c r="C17" s="57"/>
      <c r="D17" s="57"/>
      <c r="E17" s="57"/>
      <c r="F17" s="57"/>
      <c r="G17" s="57"/>
      <c r="I17" s="305" t="str">
        <f>"1     "&amp;VLOOKUP("SECTION_1_TOC_LABEL",A:B,2,FALSE)</f>
        <v>1     FHLBNY Member</v>
      </c>
      <c r="J17" s="305"/>
      <c r="K17" s="305"/>
      <c r="L17" s="305"/>
      <c r="M17" s="305"/>
      <c r="N17" s="62" t="str">
        <f>IF($B$30,1,"")</f>
        <v/>
      </c>
      <c r="O17" s="76" t="str">
        <f ca="1">$B$26</f>
        <v>Not Started</v>
      </c>
      <c r="P17" s="62" t="str">
        <f ca="1">B27</f>
        <v/>
      </c>
      <c r="Q17" s="306" t="str">
        <f>"4     "&amp;VLOOKUP("SECTION_4_TOC_LABEL",A:B,2,FALSE)</f>
        <v>4     Mortgage Information</v>
      </c>
      <c r="R17" s="306"/>
      <c r="S17" s="306"/>
      <c r="T17" s="306"/>
      <c r="U17" s="306"/>
      <c r="V17" s="62" t="str">
        <f ca="1">IF($B$89,1,"")</f>
        <v/>
      </c>
      <c r="W17" s="76" t="str">
        <f ca="1">$B$81</f>
        <v>Optional</v>
      </c>
      <c r="X17" s="62">
        <f ca="1">$B82</f>
        <v>2</v>
      </c>
    </row>
    <row r="18" spans="1:25" s="39" customFormat="1" ht="21.95" customHeight="1" x14ac:dyDescent="0.25">
      <c r="A18" s="97" t="s">
        <v>121</v>
      </c>
      <c r="B18" s="99" t="s">
        <v>2877</v>
      </c>
      <c r="C18" s="98"/>
      <c r="D18" s="98"/>
      <c r="E18" s="98"/>
      <c r="F18" s="98"/>
      <c r="G18" s="98"/>
      <c r="I18" s="305" t="str">
        <f>"2     "&amp;VLOOKUP("SECTION_2_TOC_LABEL",A:B,2,FALSE)</f>
        <v>2     Household Information</v>
      </c>
      <c r="J18" s="305"/>
      <c r="K18" s="305"/>
      <c r="L18" s="305"/>
      <c r="M18" s="305"/>
      <c r="N18" s="62" t="str">
        <f>IF($B$44,1,"")</f>
        <v/>
      </c>
      <c r="O18" s="76" t="str">
        <f ca="1">$B$40</f>
        <v>Not Started</v>
      </c>
      <c r="P18" s="62" t="str">
        <f ca="1">B41</f>
        <v/>
      </c>
      <c r="Q18" s="306" t="str">
        <f>"5    "&amp;VLOOKUP("SECTION_5_TOC_LABEL",A:B,2,FALSE)</f>
        <v>5    Other Grants</v>
      </c>
      <c r="R18" s="306"/>
      <c r="S18" s="306"/>
      <c r="T18" s="306"/>
      <c r="U18" s="306"/>
      <c r="V18" s="62" t="str">
        <f>IF($B$112,1,"")</f>
        <v/>
      </c>
      <c r="W18" s="76" t="str">
        <f ca="1">$B$108</f>
        <v>Optional</v>
      </c>
      <c r="X18" s="62">
        <f ca="1">$B109</f>
        <v>2</v>
      </c>
    </row>
    <row r="19" spans="1:25" s="39" customFormat="1" ht="21.95" customHeight="1" x14ac:dyDescent="0.25">
      <c r="A19" s="64" t="s">
        <v>2247</v>
      </c>
      <c r="B19" s="101" t="str">
        <f>IF(I24="","",I24)</f>
        <v/>
      </c>
      <c r="C19" s="57">
        <f ca="1">VLOOKUP(A19,DB_TBL_DATA_FIELDS[[FIELD_ID]:[PCT_CALC_FIELD_STATUS_CODE]],22,FALSE)</f>
        <v>1</v>
      </c>
      <c r="D19" s="57" t="str">
        <f>IF(VLOOKUP(A19,DB_TBL_DATA_FIELDS[[FIELD_ID]:[ERROR_MESSAGE]],23,FALSE)&lt;&gt;0,VLOOKUP(A19,DB_TBL_DATA_FIELDS[[FIELD_ID]:[ERROR_MESSAGE]],23,FALSE),"")</f>
        <v/>
      </c>
      <c r="E19" s="57">
        <f>VLOOKUP(A19,DB_TBL_DATA_FIELDS[[#All],[FIELD_ID]:[RANGE_VALIDATION_MAX]],18,FALSE)</f>
        <v>0</v>
      </c>
      <c r="F19" s="57">
        <f>VLOOKUP(A19,DB_TBL_DATA_FIELDS[[#All],[FIELD_ID]:[RANGE_VALIDATION_MAX]],19,FALSE)</f>
        <v>100</v>
      </c>
      <c r="G19" s="57">
        <f ca="1">IF(C19&lt;0,"",C19)</f>
        <v>1</v>
      </c>
      <c r="I19" s="305" t="str">
        <f>"3     "&amp;VLOOKUP("SECTION_3_TOC_LABEL",A:B,2,FALSE)</f>
        <v>3     Grant Summary</v>
      </c>
      <c r="J19" s="305"/>
      <c r="K19" s="305"/>
      <c r="L19" s="305"/>
      <c r="M19" s="305"/>
      <c r="N19" s="62" t="str">
        <f>IF($B$59,1,"")</f>
        <v/>
      </c>
      <c r="O19" s="76" t="str">
        <f ca="1">$B$55</f>
        <v>Not Started</v>
      </c>
      <c r="P19" s="62" t="str">
        <f ca="1">B56</f>
        <v/>
      </c>
      <c r="Q19" s="306" t="str">
        <f>"6    "&amp;VLOOKUP("SECTION_6_TOC_LABEL",A:B,2,FALSE)</f>
        <v>6    Member Certification</v>
      </c>
      <c r="R19" s="306"/>
      <c r="S19" s="306"/>
      <c r="T19" s="306"/>
      <c r="U19" s="306"/>
      <c r="V19" s="62" t="str">
        <f>IF($B$128,1,"")</f>
        <v/>
      </c>
      <c r="W19" s="76" t="str">
        <f ca="1">$B$124</f>
        <v>Not Started</v>
      </c>
      <c r="X19" s="62" t="str">
        <f ca="1">$B125</f>
        <v/>
      </c>
    </row>
    <row r="20" spans="1:25" s="39" customFormat="1" ht="21.95" customHeight="1" x14ac:dyDescent="0.25">
      <c r="A20" s="64" t="s">
        <v>2308</v>
      </c>
      <c r="B20" s="127" t="str">
        <f>IF(U24="","",U24)</f>
        <v/>
      </c>
      <c r="C20" s="57" t="str">
        <f ca="1">VLOOKUP(A20,DB_TBL_DATA_FIELDS[[FIELD_ID]:[PCT_CALC_FIELD_STATUS_CODE]],22,FALSE)</f>
        <v/>
      </c>
      <c r="D20" s="57" t="str">
        <f>IF(VLOOKUP(A20,DB_TBL_DATA_FIELDS[[FIELD_ID]:[ERROR_MESSAGE]],23,FALSE)&lt;&gt;0,VLOOKUP(A20,DB_TBL_DATA_FIELDS[[FIELD_ID]:[ERROR_MESSAGE]],23,FALSE),"")</f>
        <v/>
      </c>
      <c r="E20" s="57">
        <f>VLOOKUP(A20,DB_TBL_DATA_FIELDS[[#All],[FIELD_ID]:[RANGE_VALIDATION_MAX]],18,FALSE)</f>
        <v>0</v>
      </c>
      <c r="F20" s="57">
        <f>VLOOKUP(A20,DB_TBL_DATA_FIELDS[[#All],[FIELD_ID]:[RANGE_VALIDATION_MAX]],19,FALSE)</f>
        <v>0</v>
      </c>
      <c r="G20" s="57" t="str">
        <f t="shared" ref="G20" ca="1" si="0">IF(C20&lt;0,"",C20)</f>
        <v/>
      </c>
      <c r="J20" s="47"/>
      <c r="L20" s="47"/>
      <c r="N20" s="47"/>
      <c r="P20" s="47"/>
      <c r="R20" s="47"/>
      <c r="T20" s="47"/>
      <c r="V20" s="47"/>
      <c r="X20" s="47"/>
    </row>
    <row r="21" spans="1:25" s="39" customFormat="1" ht="21.95" customHeight="1" thickBot="1" x14ac:dyDescent="0.3">
      <c r="A21" s="64" t="s">
        <v>120</v>
      </c>
      <c r="B21" s="68" t="str">
        <f>"C"&amp;MATCH(LEFT(A21,LEN(A21)-LEN("_RANGE")),A:A,0)+1&amp;":C"&amp;(ROW()-1)</f>
        <v>C19:C20</v>
      </c>
      <c r="C21" s="57"/>
      <c r="D21" s="57"/>
      <c r="E21" s="57"/>
      <c r="F21" s="57"/>
      <c r="G21" s="57"/>
      <c r="H21" s="40"/>
      <c r="I21" s="58" t="str">
        <f>B18</f>
        <v>Federal Home Loan Bank of New York Member</v>
      </c>
      <c r="J21" s="58"/>
      <c r="K21" s="58"/>
      <c r="L21" s="58"/>
      <c r="M21" s="58"/>
      <c r="N21" s="58"/>
      <c r="O21" s="58"/>
      <c r="P21" s="58"/>
      <c r="Q21" s="58"/>
      <c r="R21" s="58"/>
      <c r="S21" s="58"/>
      <c r="T21" s="58"/>
      <c r="U21" s="58"/>
      <c r="V21" s="58"/>
      <c r="W21" s="58"/>
      <c r="X21" s="59" t="str">
        <f ca="1">"Status: "&amp;$B$26</f>
        <v>Status: Not Started</v>
      </c>
      <c r="Y21" s="40"/>
    </row>
    <row r="22" spans="1:25" s="39" customFormat="1" ht="21.95" customHeight="1" x14ac:dyDescent="0.25">
      <c r="A22" s="64" t="s">
        <v>114</v>
      </c>
      <c r="B22" s="68">
        <f ca="1">COUNTIF(INDIRECT($B21),2)</f>
        <v>0</v>
      </c>
      <c r="C22" s="57"/>
      <c r="D22" s="57"/>
      <c r="E22" s="57"/>
      <c r="F22" s="57"/>
      <c r="G22" s="57"/>
      <c r="H22" s="40"/>
      <c r="I22" s="40"/>
      <c r="J22" s="40"/>
      <c r="K22" s="40"/>
      <c r="L22" s="40"/>
      <c r="M22" s="40"/>
      <c r="N22" s="40"/>
      <c r="O22" s="40"/>
      <c r="P22" s="40"/>
      <c r="Q22" s="40"/>
      <c r="R22" s="40"/>
      <c r="S22" s="40"/>
      <c r="T22" s="40"/>
      <c r="U22" s="40"/>
      <c r="V22" s="40"/>
      <c r="W22" s="40"/>
      <c r="X22" s="40"/>
      <c r="Y22" s="40"/>
    </row>
    <row r="23" spans="1:25" s="39" customFormat="1" ht="21.95" customHeight="1" x14ac:dyDescent="0.25">
      <c r="A23" s="64" t="s">
        <v>115</v>
      </c>
      <c r="B23" s="68">
        <f ca="1">COUNTIF(INDIRECT($B21),0)+COUNTIF(INDIRECT($B21),1)+COUNTIF(INDIRECT($B21),2)</f>
        <v>1</v>
      </c>
      <c r="C23" s="57"/>
      <c r="D23" s="57"/>
      <c r="E23" s="57"/>
      <c r="F23" s="57"/>
      <c r="G23" s="57"/>
      <c r="I23" s="39" t="s">
        <v>132</v>
      </c>
      <c r="J23" s="47"/>
      <c r="L23" s="47"/>
      <c r="N23" s="47"/>
      <c r="P23" s="47"/>
      <c r="R23" s="47"/>
      <c r="T23" s="47"/>
      <c r="U23" s="47"/>
      <c r="V23" s="47"/>
      <c r="W23" s="47"/>
      <c r="X23" s="47"/>
    </row>
    <row r="24" spans="1:25" s="39" customFormat="1" ht="21.95" customHeight="1" x14ac:dyDescent="0.25">
      <c r="A24" s="64" t="s">
        <v>116</v>
      </c>
      <c r="B24" s="68">
        <f ca="1">COUNTIF(INDIRECT($B21),0)</f>
        <v>0</v>
      </c>
      <c r="C24" s="57"/>
      <c r="D24" s="57"/>
      <c r="E24" s="57"/>
      <c r="F24" s="57"/>
      <c r="G24" s="57"/>
      <c r="I24" s="283"/>
      <c r="J24" s="284"/>
      <c r="K24" s="284"/>
      <c r="L24" s="284"/>
      <c r="M24" s="284"/>
      <c r="N24" s="284"/>
      <c r="O24" s="284"/>
      <c r="P24" s="284"/>
      <c r="Q24" s="284"/>
      <c r="R24" s="284"/>
      <c r="S24" s="284"/>
      <c r="T24" s="284"/>
      <c r="U24" s="284"/>
      <c r="V24" s="284"/>
      <c r="W24" s="285"/>
      <c r="X24" s="55">
        <f ca="1">$G19</f>
        <v>1</v>
      </c>
    </row>
    <row r="25" spans="1:25" s="39" customFormat="1" ht="21.95" customHeight="1" x14ac:dyDescent="0.25">
      <c r="A25" s="64" t="s">
        <v>117</v>
      </c>
      <c r="B25" s="103">
        <f ca="1">IFERROR(B22/B23,1.01)</f>
        <v>0</v>
      </c>
      <c r="C25" s="57"/>
      <c r="D25" s="57"/>
      <c r="E25" s="57"/>
      <c r="F25" s="57"/>
      <c r="G25" s="57"/>
      <c r="N25" s="55"/>
      <c r="X25" s="55"/>
    </row>
    <row r="26" spans="1:25" s="39" customFormat="1" ht="21.95" customHeight="1" thickBot="1" x14ac:dyDescent="0.3">
      <c r="A26" s="64" t="s">
        <v>118</v>
      </c>
      <c r="B26" s="68" t="str">
        <f ca="1">IF(B24&gt;0,"Data Error(s)",IF(B25=0,"Not Started",IF(B25&lt;1,ROUNDUP(B25*100,0)&amp;"% Done",IF(B25&gt;1,"Optional","Complete"))))</f>
        <v>Not Started</v>
      </c>
      <c r="C26" s="57"/>
      <c r="D26" s="57"/>
      <c r="E26" s="57"/>
      <c r="F26" s="57"/>
      <c r="G26" s="57"/>
      <c r="I26" s="58" t="str">
        <f>B31</f>
        <v>Household Information</v>
      </c>
      <c r="J26" s="58"/>
      <c r="K26" s="58"/>
      <c r="L26" s="58"/>
      <c r="M26" s="58"/>
      <c r="N26" s="58"/>
      <c r="O26" s="58"/>
      <c r="P26" s="58"/>
      <c r="Q26" s="58"/>
      <c r="R26" s="58"/>
      <c r="S26" s="58"/>
      <c r="T26" s="58"/>
      <c r="U26" s="58"/>
      <c r="V26" s="58"/>
      <c r="W26" s="58"/>
      <c r="X26" s="59" t="str">
        <f ca="1">"Status: "&amp;$B$40</f>
        <v>Status: Not Started</v>
      </c>
    </row>
    <row r="27" spans="1:25" s="39" customFormat="1" ht="21.95" customHeight="1" x14ac:dyDescent="0.25">
      <c r="A27" s="64" t="s">
        <v>119</v>
      </c>
      <c r="B27" s="68" t="str">
        <f ca="1">IF(B24&gt;0,0,IF(B25&lt;1,"",2))</f>
        <v/>
      </c>
      <c r="C27" s="57"/>
      <c r="D27" s="57"/>
      <c r="E27" s="57"/>
      <c r="F27" s="57"/>
      <c r="G27" s="57"/>
      <c r="J27" s="47"/>
      <c r="L27" s="47"/>
      <c r="N27" s="47"/>
      <c r="P27" s="47"/>
      <c r="R27" s="47"/>
      <c r="T27" s="47"/>
      <c r="V27" s="47"/>
      <c r="X27" s="47"/>
    </row>
    <row r="28" spans="1:25" s="39" customFormat="1" ht="21.95" customHeight="1" x14ac:dyDescent="0.25">
      <c r="A28" s="64" t="s">
        <v>122</v>
      </c>
      <c r="B28" s="102" t="s">
        <v>2878</v>
      </c>
      <c r="C28" s="57"/>
      <c r="D28" s="57"/>
      <c r="E28" s="57"/>
      <c r="F28" s="57"/>
      <c r="G28" s="57"/>
      <c r="I28" s="39" t="s">
        <v>2526</v>
      </c>
      <c r="J28" s="47"/>
      <c r="L28" s="47"/>
      <c r="M28" s="39" t="s">
        <v>2527</v>
      </c>
      <c r="N28" s="47"/>
      <c r="P28" s="47"/>
      <c r="S28" s="39" t="s">
        <v>2528</v>
      </c>
      <c r="T28" s="47"/>
      <c r="V28" s="47"/>
      <c r="X28" s="47"/>
    </row>
    <row r="29" spans="1:25" s="39" customFormat="1" ht="21.95" customHeight="1" x14ac:dyDescent="0.25">
      <c r="A29" s="80" t="s">
        <v>2159</v>
      </c>
      <c r="B29" s="68">
        <v>0</v>
      </c>
      <c r="C29" s="57"/>
      <c r="D29" s="57"/>
      <c r="E29" s="57"/>
      <c r="F29" s="57"/>
      <c r="G29" s="57"/>
      <c r="I29" s="283"/>
      <c r="J29" s="284"/>
      <c r="K29" s="285"/>
      <c r="L29" s="55" t="str">
        <f ca="1">G32</f>
        <v/>
      </c>
      <c r="M29" s="283"/>
      <c r="N29" s="284"/>
      <c r="O29" s="284"/>
      <c r="P29" s="284"/>
      <c r="Q29" s="285"/>
      <c r="R29" s="55">
        <f ca="1">G33</f>
        <v>1</v>
      </c>
      <c r="S29" s="283"/>
      <c r="T29" s="284"/>
      <c r="U29" s="284"/>
      <c r="V29" s="284"/>
      <c r="W29" s="285"/>
      <c r="X29" s="55">
        <f ca="1">G34</f>
        <v>1</v>
      </c>
    </row>
    <row r="30" spans="1:25" s="39" customFormat="1" ht="21.95" customHeight="1" x14ac:dyDescent="0.25">
      <c r="A30" s="80" t="s">
        <v>2160</v>
      </c>
      <c r="B30" s="68" t="b">
        <f>(B29&gt;0)</f>
        <v>0</v>
      </c>
      <c r="C30" s="57"/>
      <c r="D30" s="57"/>
      <c r="E30" s="57"/>
      <c r="F30" s="57"/>
      <c r="G30" s="57"/>
      <c r="J30" s="47"/>
      <c r="L30" s="47"/>
      <c r="N30" s="47"/>
      <c r="P30" s="47"/>
      <c r="R30" s="47"/>
      <c r="T30" s="47"/>
      <c r="V30" s="47"/>
      <c r="X30" s="47"/>
    </row>
    <row r="31" spans="1:25" s="39" customFormat="1" ht="21.95" customHeight="1" thickBot="1" x14ac:dyDescent="0.3">
      <c r="A31" s="97" t="s">
        <v>123</v>
      </c>
      <c r="B31" s="99" t="s">
        <v>2384</v>
      </c>
      <c r="C31" s="98"/>
      <c r="D31" s="98"/>
      <c r="E31" s="98"/>
      <c r="F31" s="98"/>
      <c r="G31" s="98"/>
      <c r="H31"/>
      <c r="I31" s="58" t="str">
        <f>B45</f>
        <v>Grant Summary</v>
      </c>
      <c r="J31" s="58"/>
      <c r="K31" s="58"/>
      <c r="L31" s="58"/>
      <c r="M31" s="58"/>
      <c r="N31" s="58"/>
      <c r="O31" s="58"/>
      <c r="P31" s="58"/>
      <c r="Q31" s="58"/>
      <c r="R31" s="58"/>
      <c r="S31" s="58"/>
      <c r="T31" s="58"/>
      <c r="U31" s="58"/>
      <c r="V31" s="58"/>
      <c r="W31" s="58"/>
      <c r="X31" s="59" t="str">
        <f ca="1">"Status: "&amp;$B$55</f>
        <v>Status: Not Started</v>
      </c>
    </row>
    <row r="32" spans="1:25" s="39" customFormat="1" ht="21.95" customHeight="1" x14ac:dyDescent="0.25">
      <c r="A32" s="64" t="s">
        <v>2521</v>
      </c>
      <c r="B32" s="101" t="str">
        <f>IF(I29&lt;&gt;"",I29,"")</f>
        <v/>
      </c>
      <c r="C32" s="57" t="str">
        <f ca="1">VLOOKUP(A32,DB_TBL_DATA_FIELDS[[FIELD_ID]:[PCT_CALC_FIELD_STATUS_CODE]],22,FALSE)</f>
        <v/>
      </c>
      <c r="D32" s="57" t="str">
        <f>IF(VLOOKUP(A32,DB_TBL_DATA_FIELDS[[FIELD_ID]:[ERROR_MESSAGE]],23,FALSE)&lt;&gt;0,VLOOKUP(A32,DB_TBL_DATA_FIELDS[[FIELD_ID]:[ERROR_MESSAGE]],23,FALSE),"")</f>
        <v/>
      </c>
      <c r="E32" s="57">
        <f>VLOOKUP(A32,DB_TBL_DATA_FIELDS[[#All],[FIELD_ID]:[RANGE_VALIDATION_MAX]],18,FALSE)</f>
        <v>45000</v>
      </c>
      <c r="F32" s="57">
        <f>VLOOKUP(A32,DB_TBL_DATA_FIELDS[[#All],[FIELD_ID]:[RANGE_VALIDATION_MAX]],19,FALSE)</f>
        <v>999999</v>
      </c>
      <c r="G32" s="57" t="str">
        <f t="shared" ref="G32:G34" ca="1" si="1">IF(C32&lt;0,"",C32)</f>
        <v/>
      </c>
      <c r="H32"/>
      <c r="I32" s="133"/>
      <c r="J32" s="133"/>
      <c r="K32" s="133"/>
      <c r="L32" s="133"/>
      <c r="M32" s="133"/>
      <c r="N32" s="133"/>
      <c r="O32" s="133"/>
      <c r="P32" s="133"/>
      <c r="Q32" s="133"/>
      <c r="R32" s="133"/>
      <c r="S32" s="133"/>
      <c r="T32" s="133"/>
      <c r="U32" s="133"/>
      <c r="V32" s="133"/>
      <c r="W32" s="133"/>
      <c r="X32" s="134"/>
    </row>
    <row r="33" spans="1:25" s="39" customFormat="1" ht="21.95" customHeight="1" x14ac:dyDescent="0.25">
      <c r="A33" s="64" t="s">
        <v>2264</v>
      </c>
      <c r="B33" s="101" t="str">
        <f>IF(M29&lt;&gt;"",M29,"")</f>
        <v/>
      </c>
      <c r="C33" s="57">
        <f ca="1">VLOOKUP(A33,DB_TBL_DATA_FIELDS[[FIELD_ID]:[PCT_CALC_FIELD_STATUS_CODE]],22,FALSE)</f>
        <v>1</v>
      </c>
      <c r="D33" s="57" t="str">
        <f>IF(VLOOKUP(A33,DB_TBL_DATA_FIELDS[[FIELD_ID]:[ERROR_MESSAGE]],23,FALSE)&lt;&gt;0,VLOOKUP(A33,DB_TBL_DATA_FIELDS[[FIELD_ID]:[ERROR_MESSAGE]],23,FALSE),"")</f>
        <v/>
      </c>
      <c r="E33" s="57">
        <f>VLOOKUP(A33,DB_TBL_DATA_FIELDS[[#All],[FIELD_ID]:[RANGE_VALIDATION_MAX]],18,FALSE)</f>
        <v>0</v>
      </c>
      <c r="F33" s="57">
        <f>VLOOKUP(A33,DB_TBL_DATA_FIELDS[[#All],[FIELD_ID]:[RANGE_VALIDATION_MAX]],19,FALSE)</f>
        <v>30</v>
      </c>
      <c r="G33" s="57">
        <f t="shared" ca="1" si="1"/>
        <v>1</v>
      </c>
      <c r="H33"/>
      <c r="I33" s="133"/>
      <c r="J33" s="133"/>
      <c r="K33" s="133"/>
      <c r="L33" s="133"/>
      <c r="M33" s="133"/>
      <c r="N33" s="133"/>
      <c r="O33" s="133"/>
      <c r="P33" s="133"/>
      <c r="Q33" s="133"/>
      <c r="R33" s="133"/>
      <c r="S33" s="133"/>
      <c r="T33" s="133"/>
      <c r="U33" s="133"/>
      <c r="V33" s="133"/>
      <c r="W33" s="133"/>
      <c r="X33" s="134"/>
    </row>
    <row r="34" spans="1:25" s="39" customFormat="1" ht="21.95" customHeight="1" x14ac:dyDescent="0.25">
      <c r="A34" s="64" t="s">
        <v>2265</v>
      </c>
      <c r="B34" s="101" t="str">
        <f>IF(S29&lt;&gt;"",S29,"")</f>
        <v/>
      </c>
      <c r="C34" s="57">
        <f ca="1">VLOOKUP(A34,DB_TBL_DATA_FIELDS[[FIELD_ID]:[PCT_CALC_FIELD_STATUS_CODE]],22,FALSE)</f>
        <v>1</v>
      </c>
      <c r="D34" s="57" t="str">
        <f>IF(VLOOKUP(A34,DB_TBL_DATA_FIELDS[[FIELD_ID]:[ERROR_MESSAGE]],23,FALSE)&lt;&gt;0,VLOOKUP(A34,DB_TBL_DATA_FIELDS[[FIELD_ID]:[ERROR_MESSAGE]],23,FALSE),"")</f>
        <v/>
      </c>
      <c r="E34" s="57">
        <f>VLOOKUP(A34,DB_TBL_DATA_FIELDS[[#All],[FIELD_ID]:[RANGE_VALIDATION_MAX]],18,FALSE)</f>
        <v>0</v>
      </c>
      <c r="F34" s="57">
        <f>VLOOKUP(A34,DB_TBL_DATA_FIELDS[[#All],[FIELD_ID]:[RANGE_VALIDATION_MAX]],19,FALSE)</f>
        <v>30</v>
      </c>
      <c r="G34" s="57">
        <f t="shared" ca="1" si="1"/>
        <v>1</v>
      </c>
      <c r="H34"/>
      <c r="I34" s="39" t="str">
        <f>"Requested Grant Amount (must not exceed "&amp;TEXT(CONFIG_GRANT_AMT_MAX,"$#,###")&amp;")"</f>
        <v>Requested Grant Amount (must not exceed $9,500)</v>
      </c>
      <c r="J34" s="47"/>
      <c r="K34"/>
      <c r="L34" s="132"/>
      <c r="M34"/>
      <c r="N34" s="47"/>
      <c r="O34"/>
      <c r="P34" s="47"/>
      <c r="Q34"/>
      <c r="R34" s="47"/>
      <c r="S34"/>
      <c r="T34" s="47"/>
      <c r="U34" s="342"/>
      <c r="V34" s="342"/>
      <c r="W34" s="342"/>
      <c r="X34" s="55">
        <f ca="1">G46</f>
        <v>1</v>
      </c>
      <c r="Y34"/>
    </row>
    <row r="35" spans="1:25" s="39" customFormat="1" ht="21.95" customHeight="1" x14ac:dyDescent="0.25">
      <c r="A35" s="64" t="s">
        <v>124</v>
      </c>
      <c r="B35" s="68" t="str">
        <f>"C"&amp;MATCH(LEFT(A35,LEN(A35)-LEN("_RANGE")),A:A,0)+1&amp;":C"&amp;(ROW()-1)</f>
        <v>C32:C34</v>
      </c>
      <c r="C35" s="57"/>
      <c r="D35" s="57"/>
      <c r="E35" s="57"/>
      <c r="F35" s="57"/>
      <c r="G35" s="57"/>
      <c r="H35"/>
      <c r="I35" s="39" t="str">
        <f>"Counseling Cost Defrayment Amount (must not exceed "&amp;TEXT(CONFIG_COUNSEL_AMT_MAX,"$#,###")&amp;")"</f>
        <v>Counseling Cost Defrayment Amount (must not exceed $500)</v>
      </c>
      <c r="J35" s="47"/>
      <c r="K35"/>
      <c r="L35" s="47"/>
      <c r="M35"/>
      <c r="N35" s="132"/>
      <c r="O35"/>
      <c r="P35" s="47"/>
      <c r="Q35"/>
      <c r="R35" s="47"/>
      <c r="S35"/>
      <c r="T35" s="47"/>
      <c r="U35" s="342"/>
      <c r="V35" s="342"/>
      <c r="W35" s="342"/>
      <c r="X35" s="55">
        <f ca="1">G47</f>
        <v>1</v>
      </c>
    </row>
    <row r="36" spans="1:25" s="39" customFormat="1" ht="21.95" customHeight="1" x14ac:dyDescent="0.25">
      <c r="A36" s="64" t="s">
        <v>125</v>
      </c>
      <c r="B36" s="68">
        <f ca="1">COUNTIF(INDIRECT($B$35),2)</f>
        <v>0</v>
      </c>
      <c r="C36" s="57"/>
      <c r="D36" s="57"/>
      <c r="E36" s="57"/>
      <c r="F36" s="57"/>
      <c r="G36" s="57"/>
      <c r="H36"/>
      <c r="I36" s="39" t="str">
        <f>"Total Requested Grant Amount"</f>
        <v>Total Requested Grant Amount</v>
      </c>
      <c r="J36"/>
      <c r="K36"/>
      <c r="L36"/>
      <c r="M36"/>
      <c r="N36"/>
      <c r="O36"/>
      <c r="P36"/>
      <c r="Q36"/>
      <c r="R36"/>
      <c r="S36"/>
      <c r="T36"/>
      <c r="U36" s="359">
        <f ca="1">B48</f>
        <v>0</v>
      </c>
      <c r="V36" s="359"/>
      <c r="W36" s="359"/>
      <c r="X36" s="55" t="str">
        <f ca="1">G48</f>
        <v/>
      </c>
    </row>
    <row r="37" spans="1:25" s="39" customFormat="1" ht="21.95" customHeight="1" x14ac:dyDescent="0.25">
      <c r="A37" s="64" t="s">
        <v>126</v>
      </c>
      <c r="B37" s="68">
        <f ca="1">COUNTIF(INDIRECT($B$35),0)+COUNTIF(INDIRECT($B$35),1)+COUNTIF(INDIRECT($B$35),2)</f>
        <v>2</v>
      </c>
      <c r="C37" s="57"/>
      <c r="D37" s="57"/>
      <c r="E37" s="57"/>
      <c r="F37" s="57"/>
      <c r="G37" s="57"/>
      <c r="H37"/>
      <c r="I37" s="135"/>
      <c r="J37" s="135"/>
      <c r="K37" s="135"/>
      <c r="L37" s="135"/>
      <c r="M37" s="135"/>
      <c r="N37" s="135"/>
      <c r="O37" s="135"/>
      <c r="P37" s="135"/>
      <c r="Q37" s="286" t="str">
        <f ca="1">D48</f>
        <v/>
      </c>
      <c r="R37" s="286"/>
      <c r="S37" s="286"/>
      <c r="T37" s="286"/>
      <c r="U37" s="286"/>
      <c r="V37" s="286"/>
      <c r="W37" s="286"/>
      <c r="X37" s="135"/>
    </row>
    <row r="38" spans="1:25" s="39" customFormat="1" ht="21.95" customHeight="1" x14ac:dyDescent="0.25">
      <c r="A38" s="64" t="s">
        <v>127</v>
      </c>
      <c r="B38" s="68">
        <f ca="1">COUNTIF(INDIRECT($B$35),0)</f>
        <v>0</v>
      </c>
      <c r="C38" s="57"/>
      <c r="D38" s="57"/>
      <c r="E38" s="57"/>
      <c r="F38" s="57"/>
      <c r="G38" s="57"/>
      <c r="H38"/>
      <c r="I38"/>
      <c r="J38"/>
      <c r="K38"/>
      <c r="L38"/>
      <c r="M38"/>
      <c r="N38"/>
      <c r="O38"/>
      <c r="P38"/>
      <c r="Q38"/>
      <c r="R38" s="47"/>
      <c r="S38"/>
      <c r="T38" s="47"/>
      <c r="U38"/>
      <c r="V38" s="47"/>
      <c r="W38"/>
      <c r="X38" s="47"/>
    </row>
    <row r="39" spans="1:25" s="39" customFormat="1" ht="21.95" customHeight="1" x14ac:dyDescent="0.25">
      <c r="A39" s="64" t="s">
        <v>128</v>
      </c>
      <c r="B39" s="103">
        <f ca="1">IFERROR(B36/B37,1.01)</f>
        <v>0</v>
      </c>
      <c r="C39" s="57"/>
      <c r="D39" s="57"/>
      <c r="E39" s="57"/>
      <c r="F39" s="57"/>
      <c r="G39" s="57"/>
      <c r="H39"/>
      <c r="I39" s="282" t="s">
        <v>2410</v>
      </c>
      <c r="J39" s="282"/>
      <c r="K39" s="282"/>
      <c r="L39" s="282"/>
      <c r="M39" s="282"/>
      <c r="N39" s="282"/>
      <c r="O39" s="282"/>
      <c r="P39" s="282"/>
      <c r="Q39" s="282"/>
      <c r="R39" s="282"/>
      <c r="S39" s="282"/>
      <c r="T39" s="136"/>
      <c r="U39" s="136"/>
      <c r="W39" s="43"/>
      <c r="X39" s="55" t="str">
        <f ca="1">G49</f>
        <v/>
      </c>
    </row>
    <row r="40" spans="1:25" ht="21.95" customHeight="1" x14ac:dyDescent="0.25">
      <c r="A40" s="64" t="s">
        <v>129</v>
      </c>
      <c r="B40" s="68" t="str">
        <f ca="1">IF(B38&gt;0,"Data Error(s)",IF(B39=0,"Not Started",IF(B39&lt;1,ROUNDUP(B39*100,0)&amp;"% Done",IF(B39&gt;1,"Optional","Complete"))))</f>
        <v>Not Started</v>
      </c>
      <c r="C40" s="57"/>
      <c r="D40" s="57"/>
      <c r="E40" s="57"/>
      <c r="F40" s="57"/>
      <c r="G40" s="57"/>
      <c r="I40" s="282"/>
      <c r="J40" s="282"/>
      <c r="K40" s="282"/>
      <c r="L40" s="282"/>
      <c r="M40" s="282"/>
      <c r="N40" s="282"/>
      <c r="O40" s="282"/>
      <c r="P40" s="282"/>
      <c r="Q40" s="282"/>
      <c r="R40" s="282"/>
      <c r="S40" s="282"/>
      <c r="T40" s="136"/>
      <c r="U40" s="136"/>
      <c r="V40"/>
      <c r="X40"/>
      <c r="Y40" s="39"/>
    </row>
    <row r="41" spans="1:25" ht="21.95" customHeight="1" x14ac:dyDescent="0.25">
      <c r="A41" s="64" t="s">
        <v>130</v>
      </c>
      <c r="B41" s="68" t="str">
        <f ca="1">IF(B38&gt;0,0,IF(B39&lt;1,"",2))</f>
        <v/>
      </c>
      <c r="C41" s="57"/>
      <c r="D41" s="57"/>
      <c r="E41" s="57"/>
      <c r="F41" s="57"/>
      <c r="G41" s="57"/>
      <c r="J41"/>
      <c r="L41"/>
      <c r="N41"/>
      <c r="P41"/>
      <c r="R41"/>
      <c r="T41"/>
      <c r="V41"/>
      <c r="X41"/>
      <c r="Y41" s="39"/>
    </row>
    <row r="42" spans="1:25" ht="21.95" customHeight="1" thickBot="1" x14ac:dyDescent="0.3">
      <c r="A42" s="64" t="s">
        <v>131</v>
      </c>
      <c r="B42" s="102" t="s">
        <v>2384</v>
      </c>
      <c r="C42" s="57"/>
      <c r="D42" s="57"/>
      <c r="E42" s="57"/>
      <c r="F42" s="57"/>
      <c r="G42" s="57"/>
      <c r="I42" s="58" t="str">
        <f>B60</f>
        <v>Mortgage Information</v>
      </c>
      <c r="J42" s="58"/>
      <c r="K42" s="58"/>
      <c r="L42" s="58"/>
      <c r="M42" s="58"/>
      <c r="N42" s="58"/>
      <c r="O42" s="58"/>
      <c r="P42" s="58"/>
      <c r="Q42" s="58"/>
      <c r="R42" s="58"/>
      <c r="S42" s="58"/>
      <c r="T42" s="58"/>
      <c r="U42" s="58"/>
      <c r="V42" s="58"/>
      <c r="W42" s="58"/>
      <c r="X42" s="59" t="str">
        <f ca="1">"Status: "&amp;$B$81</f>
        <v>Status: Optional</v>
      </c>
    </row>
    <row r="43" spans="1:25" ht="21.95" customHeight="1" x14ac:dyDescent="0.25">
      <c r="A43" s="80" t="s">
        <v>2167</v>
      </c>
      <c r="B43" s="68">
        <v>0</v>
      </c>
      <c r="C43" s="57"/>
      <c r="D43" s="57"/>
      <c r="E43" s="57"/>
      <c r="F43" s="57"/>
      <c r="G43" s="57"/>
    </row>
    <row r="44" spans="1:25" ht="21.95" customHeight="1" x14ac:dyDescent="0.25">
      <c r="A44" s="80" t="s">
        <v>2168</v>
      </c>
      <c r="B44" s="68" t="b">
        <f>(B43&gt;0)</f>
        <v>0</v>
      </c>
      <c r="C44" s="57"/>
      <c r="D44" s="57"/>
      <c r="E44" s="57"/>
      <c r="F44" s="57"/>
      <c r="G44" s="57"/>
      <c r="I44" s="39"/>
      <c r="J44" s="39"/>
      <c r="K44" s="39"/>
      <c r="L44" s="39"/>
      <c r="M44" s="39"/>
      <c r="N44" s="39"/>
      <c r="O44" s="39"/>
      <c r="P44" s="39"/>
      <c r="Q44" s="39"/>
      <c r="R44" s="39"/>
      <c r="S44" s="39"/>
      <c r="T44" s="39"/>
      <c r="U44" s="39"/>
      <c r="V44" s="39"/>
      <c r="W44" s="39"/>
      <c r="X44" s="39"/>
    </row>
    <row r="45" spans="1:25" ht="21.95" customHeight="1" thickBot="1" x14ac:dyDescent="0.3">
      <c r="A45" s="97" t="s">
        <v>144</v>
      </c>
      <c r="B45" s="99" t="s">
        <v>2385</v>
      </c>
      <c r="C45" s="98"/>
      <c r="D45" s="98"/>
      <c r="E45" s="98"/>
      <c r="F45" s="98"/>
      <c r="G45" s="98"/>
      <c r="I45" s="67" t="s">
        <v>2598</v>
      </c>
      <c r="J45" s="67"/>
      <c r="K45" s="67"/>
      <c r="L45" s="67"/>
      <c r="M45" s="67"/>
      <c r="N45" s="67"/>
      <c r="O45" s="67"/>
      <c r="P45" s="67"/>
      <c r="Q45" s="67"/>
      <c r="R45" s="67"/>
      <c r="S45" s="67"/>
      <c r="T45" s="67"/>
      <c r="U45" s="67"/>
      <c r="V45" s="67"/>
      <c r="W45" s="169" t="str">
        <f ca="1">IF(B84&lt;&gt;"",B84,IF(B85&lt;&gt;"",B85,IF(B86&lt;&gt;"",B86,IF(B87&lt;&gt;"",B87,""))))</f>
        <v/>
      </c>
      <c r="X45" s="143" t="str">
        <f ca="1">IF(SUM(C84:C87)&gt;0,1,"")</f>
        <v/>
      </c>
    </row>
    <row r="46" spans="1:25" ht="21.95" customHeight="1" thickTop="1" x14ac:dyDescent="0.25">
      <c r="A46" s="64" t="s">
        <v>2309</v>
      </c>
      <c r="B46" s="101" t="str">
        <f>IF(U34&lt;&gt;"",U34,"")</f>
        <v/>
      </c>
      <c r="C46" s="57">
        <f ca="1">VLOOKUP(A46,DB_TBL_DATA_FIELDS[[FIELD_ID]:[PCT_CALC_FIELD_STATUS_CODE]],22,FALSE)</f>
        <v>1</v>
      </c>
      <c r="D46" s="57" t="str">
        <f>IF(VLOOKUP(A46,DB_TBL_DATA_FIELDS[[FIELD_ID]:[ERROR_MESSAGE]],23,FALSE)&lt;&gt;0,VLOOKUP(A46,DB_TBL_DATA_FIELDS[[FIELD_ID]:[ERROR_MESSAGE]],23,FALSE),"")</f>
        <v/>
      </c>
      <c r="E46" s="57">
        <f>VLOOKUP(A46,DB_TBL_DATA_FIELDS[[#All],[FIELD_ID]:[RANGE_VALIDATION_MAX]],18,FALSE)</f>
        <v>1</v>
      </c>
      <c r="F46" s="57">
        <f>VLOOKUP(A46,DB_TBL_DATA_FIELDS[[#All],[FIELD_ID]:[RANGE_VALIDATION_MAX]],19,FALSE)</f>
        <v>9500</v>
      </c>
      <c r="G46" s="57">
        <f t="shared" ref="G46:G49" ca="1" si="2">IF(C46&lt;0,"",C46)</f>
        <v>1</v>
      </c>
      <c r="I46" s="39"/>
      <c r="J46" s="39"/>
      <c r="K46" s="39"/>
      <c r="L46" s="39"/>
      <c r="M46" s="39"/>
      <c r="N46" s="39"/>
      <c r="O46" s="39"/>
      <c r="P46" s="39"/>
      <c r="Q46" s="39"/>
      <c r="R46" s="39"/>
      <c r="S46" s="39"/>
      <c r="T46" s="39"/>
      <c r="U46" s="39"/>
      <c r="V46" s="39"/>
      <c r="W46" s="39"/>
      <c r="X46" s="39"/>
    </row>
    <row r="47" spans="1:25" ht="21.95" customHeight="1" x14ac:dyDescent="0.25">
      <c r="A47" s="64" t="s">
        <v>2310</v>
      </c>
      <c r="B47" s="101" t="str">
        <f>IF(U35&lt;&gt;"",U35,"")</f>
        <v/>
      </c>
      <c r="C47" s="57">
        <f ca="1">VLOOKUP(A47,DB_TBL_DATA_FIELDS[[FIELD_ID]:[PCT_CALC_FIELD_STATUS_CODE]],22,FALSE)</f>
        <v>1</v>
      </c>
      <c r="D47" s="57" t="str">
        <f>IF(VLOOKUP(A47,DB_TBL_DATA_FIELDS[[FIELD_ID]:[ERROR_MESSAGE]],23,FALSE)&lt;&gt;0,VLOOKUP(A47,DB_TBL_DATA_FIELDS[[FIELD_ID]:[ERROR_MESSAGE]],23,FALSE),"")</f>
        <v/>
      </c>
      <c r="E47" s="57">
        <f>VLOOKUP(A47,DB_TBL_DATA_FIELDS[[#All],[FIELD_ID]:[RANGE_VALIDATION_MAX]],18,FALSE)</f>
        <v>0</v>
      </c>
      <c r="F47" s="57">
        <f>VLOOKUP(A47,DB_TBL_DATA_FIELDS[[#All],[FIELD_ID]:[RANGE_VALIDATION_MAX]],19,FALSE)</f>
        <v>500</v>
      </c>
      <c r="G47" s="57">
        <f t="shared" ca="1" si="2"/>
        <v>1</v>
      </c>
      <c r="I47" s="39" t="s">
        <v>2599</v>
      </c>
      <c r="J47" s="39"/>
      <c r="K47" s="39"/>
      <c r="L47" s="39"/>
      <c r="M47" s="251" t="s">
        <v>2571</v>
      </c>
      <c r="N47" s="39"/>
      <c r="O47" s="39"/>
      <c r="P47" s="39"/>
      <c r="Q47" s="39" t="s">
        <v>2601</v>
      </c>
      <c r="R47" s="39"/>
      <c r="S47" s="251" t="s">
        <v>2602</v>
      </c>
      <c r="T47" s="39"/>
      <c r="U47" s="39" t="s">
        <v>2603</v>
      </c>
      <c r="V47" s="39"/>
      <c r="X47" s="39"/>
    </row>
    <row r="48" spans="1:25" ht="21.95" customHeight="1" x14ac:dyDescent="0.25">
      <c r="A48" s="64" t="s">
        <v>2311</v>
      </c>
      <c r="B48" s="68">
        <f ca="1">VLOOKUP(A48,DB_TBL_DATA_FIELDS[[#All],[FIELD_ID]:[FIELD_VALUE_RAW]],5,FALSE)</f>
        <v>0</v>
      </c>
      <c r="C48" s="57" t="str">
        <f ca="1">VLOOKUP(A48,DB_TBL_DATA_FIELDS[[FIELD_ID]:[PCT_CALC_FIELD_STATUS_CODE]],22,FALSE)</f>
        <v/>
      </c>
      <c r="D48" s="57" t="str">
        <f ca="1">IF(VLOOKUP(A48,DB_TBL_DATA_FIELDS[[FIELD_ID]:[ERROR_MESSAGE]],23,FALSE)&lt;&gt;0,VLOOKUP(A48,DB_TBL_DATA_FIELDS[[FIELD_ID]:[ERROR_MESSAGE]],23,FALSE),"")</f>
        <v/>
      </c>
      <c r="E48" s="57">
        <f>VLOOKUP(A48,DB_TBL_DATA_FIELDS[[#All],[FIELD_ID]:[RANGE_VALIDATION_MAX]],18,FALSE)</f>
        <v>0</v>
      </c>
      <c r="F48" s="57">
        <f>VLOOKUP(A48,DB_TBL_DATA_FIELDS[[#All],[FIELD_ID]:[RANGE_VALIDATION_MAX]],19,FALSE)</f>
        <v>10000</v>
      </c>
      <c r="G48" s="57" t="str">
        <f t="shared" ca="1" si="2"/>
        <v/>
      </c>
      <c r="I48" s="294"/>
      <c r="J48" s="295"/>
      <c r="K48" s="296"/>
      <c r="L48" s="55" t="str">
        <f ca="1">G61</f>
        <v/>
      </c>
      <c r="M48" s="342"/>
      <c r="N48" s="342"/>
      <c r="O48" s="342"/>
      <c r="P48" s="55" t="str">
        <f ca="1">G68</f>
        <v/>
      </c>
      <c r="Q48" s="252"/>
      <c r="R48" s="55" t="str">
        <f ca="1">G69</f>
        <v/>
      </c>
      <c r="S48" s="250"/>
      <c r="T48" s="55" t="str">
        <f ca="1">G70</f>
        <v/>
      </c>
      <c r="U48" s="283"/>
      <c r="V48" s="284"/>
      <c r="W48" s="285"/>
      <c r="X48" s="55" t="str">
        <f ca="1">G71</f>
        <v/>
      </c>
    </row>
    <row r="49" spans="1:24" ht="21.95" customHeight="1" x14ac:dyDescent="0.25">
      <c r="A49" s="64" t="s">
        <v>2377</v>
      </c>
      <c r="B49" s="101" t="str">
        <f>IF(W39="","",IF(UPPER(W39)="YES",TRUE,FALSE))</f>
        <v/>
      </c>
      <c r="C49" s="57">
        <f ca="1">VLOOKUP(A49,DB_TBL_DATA_FIELDS[[FIELD_ID]:[PCT_CALC_FIELD_STATUS_CODE]],22,FALSE)</f>
        <v>-1</v>
      </c>
      <c r="D49" s="57" t="str">
        <f>IF(VLOOKUP(A49,DB_TBL_DATA_FIELDS[[FIELD_ID]:[ERROR_MESSAGE]],23,FALSE)&lt;&gt;0,VLOOKUP(A49,DB_TBL_DATA_FIELDS[[FIELD_ID]:[ERROR_MESSAGE]],23,FALSE),"")</f>
        <v/>
      </c>
      <c r="E49" s="57">
        <f>VLOOKUP(A49,DB_TBL_DATA_FIELDS[[#All],[FIELD_ID]:[RANGE_VALIDATION_MAX]],18,FALSE)</f>
        <v>0</v>
      </c>
      <c r="F49" s="57">
        <f>VLOOKUP(A49,DB_TBL_DATA_FIELDS[[#All],[FIELD_ID]:[RANGE_VALIDATION_MAX]],19,FALSE)</f>
        <v>0</v>
      </c>
      <c r="G49" s="57" t="str">
        <f t="shared" ca="1" si="2"/>
        <v/>
      </c>
      <c r="I49" s="39"/>
      <c r="J49" s="39"/>
      <c r="K49" s="39"/>
      <c r="L49" s="39"/>
      <c r="M49" s="39"/>
      <c r="N49" s="39"/>
      <c r="O49" s="39"/>
      <c r="P49" s="39"/>
      <c r="Q49" s="39"/>
      <c r="R49" s="39"/>
      <c r="S49" s="39"/>
      <c r="T49" s="39"/>
      <c r="U49" s="39"/>
      <c r="V49" s="39"/>
      <c r="W49" s="39"/>
      <c r="X49" s="39"/>
    </row>
    <row r="50" spans="1:24" ht="21.95" customHeight="1" x14ac:dyDescent="0.25">
      <c r="A50" s="64" t="s">
        <v>145</v>
      </c>
      <c r="B50" s="68" t="str">
        <f>"C"&amp;MATCH(LEFT(A50,LEN(A50)-LEN("_RANGE")),A:A,0)+1&amp;":C"&amp;(ROW()-1)</f>
        <v>C46:C49</v>
      </c>
      <c r="C50" s="57"/>
      <c r="D50" s="57"/>
      <c r="E50" s="57"/>
      <c r="F50" s="57"/>
      <c r="G50" s="57"/>
      <c r="I50" s="39" t="s">
        <v>2542</v>
      </c>
      <c r="L50" s="132"/>
      <c r="U50" s="39"/>
      <c r="V50" s="39"/>
      <c r="W50" s="171"/>
      <c r="X50" s="55" t="str">
        <f ca="1">G65</f>
        <v/>
      </c>
    </row>
    <row r="51" spans="1:24" ht="21.95" customHeight="1" x14ac:dyDescent="0.25">
      <c r="A51" s="64" t="s">
        <v>146</v>
      </c>
      <c r="B51" s="68">
        <f ca="1">COUNTIF(INDIRECT($B50),2)</f>
        <v>0</v>
      </c>
      <c r="C51" s="57"/>
      <c r="D51" s="57"/>
      <c r="E51" s="57"/>
      <c r="F51" s="57"/>
      <c r="G51" s="57"/>
      <c r="I51" s="39" t="s">
        <v>2567</v>
      </c>
      <c r="L51" s="132"/>
      <c r="U51" s="39"/>
      <c r="V51" s="39"/>
      <c r="W51" s="171"/>
      <c r="X51" s="55" t="str">
        <f ca="1">G62</f>
        <v/>
      </c>
    </row>
    <row r="52" spans="1:24" ht="21.95" customHeight="1" x14ac:dyDescent="0.25">
      <c r="A52" s="64" t="s">
        <v>147</v>
      </c>
      <c r="B52" s="68">
        <f ca="1">COUNTIF(INDIRECT($B50),0)+COUNTIF(INDIRECT($B50),1)+COUNTIF(INDIRECT($B50),2)</f>
        <v>2</v>
      </c>
      <c r="C52" s="57"/>
      <c r="D52" s="57"/>
      <c r="E52" s="57"/>
      <c r="F52" s="57"/>
      <c r="G52" s="57"/>
      <c r="I52" s="39" t="s">
        <v>2568</v>
      </c>
      <c r="L52" s="132"/>
      <c r="U52" s="39"/>
      <c r="V52" s="39"/>
      <c r="W52" s="171"/>
      <c r="X52" s="55" t="str">
        <f ca="1">G63</f>
        <v/>
      </c>
    </row>
    <row r="53" spans="1:24" ht="21.95" customHeight="1" x14ac:dyDescent="0.25">
      <c r="A53" s="64" t="s">
        <v>148</v>
      </c>
      <c r="B53" s="68">
        <f ca="1">COUNTIF(INDIRECT($B50),0)</f>
        <v>0</v>
      </c>
      <c r="C53" s="57"/>
      <c r="D53" s="57"/>
      <c r="E53" s="57"/>
      <c r="F53" s="57"/>
      <c r="G53" s="57"/>
      <c r="I53" s="39" t="str">
        <f>"If Total Debt to Income Ratio is greater than "&amp;TEXT(CONFIG_DTI_THRESH_AFFORDABILITY,"0%")&amp;", provide an explanation of affordability:"</f>
        <v>If Total Debt to Income Ratio is greater than 45%, provide an explanation of affordability:</v>
      </c>
      <c r="J53" s="39"/>
      <c r="K53" s="39"/>
      <c r="L53" s="39"/>
      <c r="M53" s="39"/>
      <c r="N53" s="39"/>
      <c r="O53" s="39"/>
      <c r="P53" s="39"/>
      <c r="Q53" s="39"/>
      <c r="R53" s="39"/>
      <c r="S53" s="39"/>
      <c r="T53" s="39"/>
      <c r="U53" s="39"/>
      <c r="V53" s="39"/>
      <c r="W53" s="167" t="str">
        <f ca="1">IF(DATA_EXPLANATION_OF_AFFORDABILITY_REQ_FLAG,SUBSTITUTE(SUBSTITUTE(SUBSTITUTE(IF(LEN(B64)&gt;F64,CONFIG_CHAR_LIMIT_TEMPLATE_ERR,CONFIG_CHAR_LIMIT_TEMPLATE),"[diff]",ABS(LEN(B64)-F64)),"[limit]",F64),"[used]",LEN(B64)),"")</f>
        <v/>
      </c>
      <c r="X53" s="39"/>
    </row>
    <row r="54" spans="1:24" ht="21.95" customHeight="1" x14ac:dyDescent="0.25">
      <c r="A54" s="64" t="s">
        <v>149</v>
      </c>
      <c r="B54" s="103">
        <f ca="1">IFERROR(B51/B52,1.01)</f>
        <v>0</v>
      </c>
      <c r="C54" s="57"/>
      <c r="D54" s="57"/>
      <c r="E54" s="57"/>
      <c r="F54" s="57"/>
      <c r="G54" s="57"/>
      <c r="I54" s="350"/>
      <c r="J54" s="351"/>
      <c r="K54" s="351"/>
      <c r="L54" s="351"/>
      <c r="M54" s="351"/>
      <c r="N54" s="351"/>
      <c r="O54" s="351"/>
      <c r="P54" s="351"/>
      <c r="Q54" s="351"/>
      <c r="R54" s="351"/>
      <c r="S54" s="351"/>
      <c r="T54" s="351"/>
      <c r="U54" s="351"/>
      <c r="V54" s="351"/>
      <c r="W54" s="352"/>
      <c r="X54" s="55" t="str">
        <f ca="1">G64</f>
        <v/>
      </c>
    </row>
    <row r="55" spans="1:24" ht="21.95" customHeight="1" x14ac:dyDescent="0.25">
      <c r="A55" s="64" t="s">
        <v>150</v>
      </c>
      <c r="B55" s="68" t="str">
        <f ca="1">IF(B53&gt;0,"Data Error(s)",IF(B54=0,"Not Started",IF(B54&lt;1,ROUNDUP(B54*100,0)&amp;"% Done",IF(B54&gt;1,"Optional","Complete"))))</f>
        <v>Not Started</v>
      </c>
      <c r="C55" s="57"/>
      <c r="D55" s="57"/>
      <c r="E55" s="57"/>
      <c r="F55" s="57"/>
      <c r="G55" s="57"/>
      <c r="I55" s="353"/>
      <c r="J55" s="354"/>
      <c r="K55" s="354"/>
      <c r="L55" s="354"/>
      <c r="M55" s="354"/>
      <c r="N55" s="354"/>
      <c r="O55" s="354"/>
      <c r="P55" s="354"/>
      <c r="Q55" s="354"/>
      <c r="R55" s="354"/>
      <c r="S55" s="354"/>
      <c r="T55" s="354"/>
      <c r="U55" s="354"/>
      <c r="V55" s="354"/>
      <c r="W55" s="355"/>
      <c r="X55" s="39"/>
    </row>
    <row r="56" spans="1:24" ht="21.95" customHeight="1" x14ac:dyDescent="0.25">
      <c r="A56" s="64" t="s">
        <v>151</v>
      </c>
      <c r="B56" s="68" t="str">
        <f ca="1">IF(B53&gt;0,0,IF(B54&lt;1,"",2))</f>
        <v/>
      </c>
      <c r="C56" s="57"/>
      <c r="D56" s="57"/>
      <c r="E56" s="57"/>
      <c r="F56" s="57"/>
      <c r="G56" s="57"/>
      <c r="I56" s="353"/>
      <c r="J56" s="354"/>
      <c r="K56" s="354"/>
      <c r="L56" s="354"/>
      <c r="M56" s="354"/>
      <c r="N56" s="354"/>
      <c r="O56" s="354"/>
      <c r="P56" s="354"/>
      <c r="Q56" s="354"/>
      <c r="R56" s="354"/>
      <c r="S56" s="354"/>
      <c r="T56" s="354"/>
      <c r="U56" s="354"/>
      <c r="V56" s="354"/>
      <c r="W56" s="355"/>
      <c r="X56" s="39"/>
    </row>
    <row r="57" spans="1:24" ht="21.95" customHeight="1" x14ac:dyDescent="0.25">
      <c r="A57" s="64" t="s">
        <v>152</v>
      </c>
      <c r="B57" s="102" t="s">
        <v>2385</v>
      </c>
      <c r="C57" s="57"/>
      <c r="D57" s="57"/>
      <c r="E57" s="57"/>
      <c r="F57" s="57"/>
      <c r="G57" s="57"/>
      <c r="I57" s="353"/>
      <c r="J57" s="354"/>
      <c r="K57" s="354"/>
      <c r="L57" s="354"/>
      <c r="M57" s="354"/>
      <c r="N57" s="354"/>
      <c r="O57" s="354"/>
      <c r="P57" s="354"/>
      <c r="Q57" s="354"/>
      <c r="R57" s="354"/>
      <c r="S57" s="354"/>
      <c r="T57" s="354"/>
      <c r="U57" s="354"/>
      <c r="V57" s="354"/>
      <c r="W57" s="355"/>
      <c r="X57" s="39"/>
    </row>
    <row r="58" spans="1:24" ht="21.95" customHeight="1" x14ac:dyDescent="0.25">
      <c r="A58" s="80" t="s">
        <v>2165</v>
      </c>
      <c r="B58" s="68">
        <v>0</v>
      </c>
      <c r="C58" s="57"/>
      <c r="D58" s="57"/>
      <c r="E58" s="57"/>
      <c r="F58" s="57"/>
      <c r="G58" s="57"/>
      <c r="I58" s="353"/>
      <c r="J58" s="354"/>
      <c r="K58" s="354"/>
      <c r="L58" s="354"/>
      <c r="M58" s="354"/>
      <c r="N58" s="354"/>
      <c r="O58" s="354"/>
      <c r="P58" s="354"/>
      <c r="Q58" s="354"/>
      <c r="R58" s="354"/>
      <c r="S58" s="354"/>
      <c r="T58" s="354"/>
      <c r="U58" s="354"/>
      <c r="V58" s="354"/>
      <c r="W58" s="355"/>
      <c r="X58" s="39"/>
    </row>
    <row r="59" spans="1:24" ht="21.95" customHeight="1" x14ac:dyDescent="0.25">
      <c r="A59" s="80" t="s">
        <v>2166</v>
      </c>
      <c r="B59" s="68" t="b">
        <f>(B58&gt;0)</f>
        <v>0</v>
      </c>
      <c r="C59" s="57"/>
      <c r="D59" s="57"/>
      <c r="E59" s="57"/>
      <c r="F59" s="57"/>
      <c r="G59" s="57"/>
      <c r="I59" s="356"/>
      <c r="J59" s="357"/>
      <c r="K59" s="357"/>
      <c r="L59" s="357"/>
      <c r="M59" s="357"/>
      <c r="N59" s="357"/>
      <c r="O59" s="357"/>
      <c r="P59" s="357"/>
      <c r="Q59" s="357"/>
      <c r="R59" s="357"/>
      <c r="S59" s="357"/>
      <c r="T59" s="357"/>
      <c r="U59" s="357"/>
      <c r="V59" s="357"/>
      <c r="W59" s="358"/>
      <c r="X59" s="39"/>
    </row>
    <row r="60" spans="1:24" ht="21.95" customHeight="1" x14ac:dyDescent="0.25">
      <c r="A60" s="97" t="s">
        <v>155</v>
      </c>
      <c r="B60" s="99" t="s">
        <v>2596</v>
      </c>
      <c r="C60" s="98"/>
      <c r="D60" s="98"/>
      <c r="E60" s="98"/>
      <c r="F60" s="98"/>
      <c r="G60" s="98"/>
      <c r="I60" s="39"/>
      <c r="J60" s="39"/>
      <c r="K60" s="39"/>
      <c r="L60" s="39"/>
      <c r="M60" s="39"/>
      <c r="N60" s="39"/>
      <c r="O60" s="39"/>
      <c r="P60" s="39"/>
      <c r="Q60" s="39"/>
      <c r="R60" s="39"/>
      <c r="S60" s="39"/>
      <c r="T60" s="39"/>
      <c r="U60" s="39"/>
      <c r="V60" s="39"/>
      <c r="W60" s="39"/>
      <c r="X60" s="39"/>
    </row>
    <row r="61" spans="1:24" ht="21.95" customHeight="1" x14ac:dyDescent="0.25">
      <c r="A61" s="64" t="s">
        <v>2545</v>
      </c>
      <c r="B61" s="101" t="str">
        <f>IF(I48&lt;&gt;"",I48,"")</f>
        <v/>
      </c>
      <c r="C61" s="57" t="str">
        <f ca="1">VLOOKUP(A61,DB_TBL_DATA_FIELDS[[FIELD_ID]:[PCT_CALC_FIELD_STATUS_CODE]],22,FALSE)</f>
        <v/>
      </c>
      <c r="D61" s="57" t="str">
        <f>IF(VLOOKUP(A61,DB_TBL_DATA_FIELDS[[FIELD_ID]:[ERROR_MESSAGE]],23,FALSE)&lt;&gt;0,VLOOKUP(A61,DB_TBL_DATA_FIELDS[[FIELD_ID]:[ERROR_MESSAGE]],23,FALSE),"")</f>
        <v/>
      </c>
      <c r="E61" s="57">
        <f>VLOOKUP(A61,DB_TBL_DATA_FIELDS[[#All],[FIELD_ID]:[RANGE_VALIDATION_MAX]],18,FALSE)</f>
        <v>0</v>
      </c>
      <c r="F61" s="57">
        <f>VLOOKUP(A61,DB_TBL_DATA_FIELDS[[#All],[FIELD_ID]:[RANGE_VALIDATION_MAX]],19,FALSE)</f>
        <v>0</v>
      </c>
      <c r="G61" s="57" t="str">
        <f t="shared" ref="G61" ca="1" si="3">IF(C61&lt;0,"",C61)</f>
        <v/>
      </c>
      <c r="I61" s="39" t="s">
        <v>2570</v>
      </c>
      <c r="L61" s="132"/>
      <c r="U61" s="342"/>
      <c r="V61" s="342"/>
      <c r="W61" s="342"/>
      <c r="X61" s="55" t="str">
        <f ca="1">G67</f>
        <v/>
      </c>
    </row>
    <row r="62" spans="1:24" ht="21.95" customHeight="1" x14ac:dyDescent="0.25">
      <c r="A62" s="64" t="s">
        <v>2540</v>
      </c>
      <c r="B62" s="101" t="str">
        <f>IF(W51&lt;&gt;"",W51,"")</f>
        <v/>
      </c>
      <c r="C62" s="57" t="str">
        <f ca="1">VLOOKUP(A62,DB_TBL_DATA_FIELDS[[FIELD_ID]:[PCT_CALC_FIELD_STATUS_CODE]],22,FALSE)</f>
        <v/>
      </c>
      <c r="D62" s="57" t="str">
        <f>IF(VLOOKUP(A62,DB_TBL_DATA_FIELDS[[FIELD_ID]:[ERROR_MESSAGE]],23,FALSE)&lt;&gt;0,VLOOKUP(A62,DB_TBL_DATA_FIELDS[[FIELD_ID]:[ERROR_MESSAGE]],23,FALSE),"")</f>
        <v/>
      </c>
      <c r="E62" s="57">
        <f>VLOOKUP(A62,DB_TBL_DATA_FIELDS[[#All],[FIELD_ID]:[RANGE_VALIDATION_MAX]],18,FALSE)</f>
        <v>0</v>
      </c>
      <c r="F62" s="57">
        <f>VLOOKUP(A62,DB_TBL_DATA_FIELDS[[#All],[FIELD_ID]:[RANGE_VALIDATION_MAX]],19,FALSE)</f>
        <v>999999999</v>
      </c>
      <c r="G62" s="57" t="str">
        <f t="shared" ref="G62:G75" ca="1" si="4">IF(C62&lt;0,"",C62)</f>
        <v/>
      </c>
      <c r="I62" s="39" t="s">
        <v>2569</v>
      </c>
      <c r="L62" s="132"/>
      <c r="U62" s="342"/>
      <c r="V62" s="342"/>
      <c r="W62" s="342"/>
      <c r="X62" s="55" t="str">
        <f ca="1">G66</f>
        <v/>
      </c>
    </row>
    <row r="63" spans="1:24" ht="21.95" customHeight="1" x14ac:dyDescent="0.25">
      <c r="A63" s="64" t="s">
        <v>2541</v>
      </c>
      <c r="B63" s="101" t="str">
        <f>IF(W52&lt;&gt;"",W52,"")</f>
        <v/>
      </c>
      <c r="C63" s="57" t="str">
        <f ca="1">VLOOKUP(A63,DB_TBL_DATA_FIELDS[[FIELD_ID]:[PCT_CALC_FIELD_STATUS_CODE]],22,FALSE)</f>
        <v/>
      </c>
      <c r="D63" s="57" t="str">
        <f>IF(VLOOKUP(A63,DB_TBL_DATA_FIELDS[[FIELD_ID]:[ERROR_MESSAGE]],23,FALSE)&lt;&gt;0,VLOOKUP(A63,DB_TBL_DATA_FIELDS[[FIELD_ID]:[ERROR_MESSAGE]],23,FALSE),"")</f>
        <v/>
      </c>
      <c r="E63" s="57">
        <f>VLOOKUP(A63,DB_TBL_DATA_FIELDS[[#All],[FIELD_ID]:[RANGE_VALIDATION_MAX]],18,FALSE)</f>
        <v>0</v>
      </c>
      <c r="F63" s="57">
        <f>VLOOKUP(A63,DB_TBL_DATA_FIELDS[[#All],[FIELD_ID]:[RANGE_VALIDATION_MAX]],19,FALSE)</f>
        <v>999999999</v>
      </c>
      <c r="G63" s="57" t="str">
        <f t="shared" ca="1" si="4"/>
        <v/>
      </c>
      <c r="I63" s="39"/>
      <c r="J63" s="39"/>
      <c r="K63" s="39"/>
      <c r="L63" s="39"/>
      <c r="M63" s="39"/>
      <c r="N63" s="39"/>
      <c r="O63" s="39"/>
      <c r="P63" s="39"/>
      <c r="Q63" s="39"/>
      <c r="R63" s="39"/>
      <c r="S63" s="39"/>
      <c r="T63" s="39"/>
      <c r="U63" s="39"/>
      <c r="V63" s="39"/>
      <c r="W63" s="39"/>
      <c r="X63" s="39"/>
    </row>
    <row r="64" spans="1:24" ht="21.95" customHeight="1" thickBot="1" x14ac:dyDescent="0.3">
      <c r="A64" s="64" t="s">
        <v>2888</v>
      </c>
      <c r="B64" s="101" t="str">
        <f>IF(I54&lt;&gt;"",I54,"")</f>
        <v/>
      </c>
      <c r="C64" s="57" t="str">
        <f ca="1">VLOOKUP(A64,DB_TBL_DATA_FIELDS[[FIELD_ID]:[PCT_CALC_FIELD_STATUS_CODE]],22,FALSE)</f>
        <v/>
      </c>
      <c r="D64" s="57" t="str">
        <f>IF(VLOOKUP(A64,DB_TBL_DATA_FIELDS[[FIELD_ID]:[ERROR_MESSAGE]],23,FALSE)&lt;&gt;0,VLOOKUP(A64,DB_TBL_DATA_FIELDS[[FIELD_ID]:[ERROR_MESSAGE]],23,FALSE),"")</f>
        <v/>
      </c>
      <c r="E64" s="57">
        <f>VLOOKUP(A64,DB_TBL_DATA_FIELDS[[#All],[FIELD_ID]:[RANGE_VALIDATION_MAX]],18,FALSE)</f>
        <v>0</v>
      </c>
      <c r="F64" s="57">
        <f>VLOOKUP(A64,DB_TBL_DATA_FIELDS[[#All],[FIELD_ID]:[RANGE_VALIDATION_MAX]],19,FALSE)</f>
        <v>1000</v>
      </c>
      <c r="G64" s="57" t="str">
        <f t="shared" ref="G64" ca="1" si="5">IF(C64&lt;0,"",C64)</f>
        <v/>
      </c>
      <c r="I64" s="67" t="s">
        <v>2604</v>
      </c>
      <c r="J64" s="67"/>
      <c r="K64" s="67"/>
      <c r="L64" s="67"/>
      <c r="M64" s="67"/>
      <c r="N64" s="67"/>
      <c r="O64" s="67"/>
      <c r="P64" s="67"/>
      <c r="Q64" s="67"/>
      <c r="R64" s="67"/>
      <c r="S64" s="67"/>
      <c r="T64" s="67"/>
      <c r="U64" s="67"/>
      <c r="V64" s="67"/>
      <c r="W64" s="67"/>
      <c r="X64" s="39"/>
    </row>
    <row r="65" spans="1:24" ht="21.95" customHeight="1" thickTop="1" x14ac:dyDescent="0.25">
      <c r="A65" s="64" t="s">
        <v>2542</v>
      </c>
      <c r="B65" s="101" t="str">
        <f>IF(W50&lt;&gt;"",W50,"")</f>
        <v/>
      </c>
      <c r="C65" s="57" t="str">
        <f ca="1">VLOOKUP(A65,DB_TBL_DATA_FIELDS[[FIELD_ID]:[PCT_CALC_FIELD_STATUS_CODE]],22,FALSE)</f>
        <v/>
      </c>
      <c r="D65" s="57" t="str">
        <f>IF(VLOOKUP(A65,DB_TBL_DATA_FIELDS[[FIELD_ID]:[ERROR_MESSAGE]],23,FALSE)&lt;&gt;0,VLOOKUP(A65,DB_TBL_DATA_FIELDS[[FIELD_ID]:[ERROR_MESSAGE]],23,FALSE),"")</f>
        <v/>
      </c>
      <c r="E65" s="57">
        <f>VLOOKUP(A65,DB_TBL_DATA_FIELDS[[#All],[FIELD_ID]:[RANGE_VALIDATION_MAX]],18,FALSE)</f>
        <v>0</v>
      </c>
      <c r="F65" s="57">
        <f>VLOOKUP(A65,DB_TBL_DATA_FIELDS[[#All],[FIELD_ID]:[RANGE_VALIDATION_MAX]],19,FALSE)</f>
        <v>999999999</v>
      </c>
      <c r="G65" s="57" t="str">
        <f t="shared" ca="1" si="4"/>
        <v/>
      </c>
      <c r="I65" s="39"/>
      <c r="J65" s="39"/>
      <c r="K65" s="39"/>
      <c r="L65" s="39"/>
      <c r="M65" s="39"/>
      <c r="N65" s="39"/>
      <c r="O65" s="39"/>
      <c r="P65" s="39"/>
      <c r="Q65" s="39"/>
      <c r="R65" s="39"/>
      <c r="S65" s="39"/>
      <c r="T65" s="39"/>
      <c r="U65" s="39"/>
      <c r="V65" s="39"/>
      <c r="W65" s="39"/>
      <c r="X65" s="39"/>
    </row>
    <row r="66" spans="1:24" ht="21.95" customHeight="1" x14ac:dyDescent="0.25">
      <c r="A66" s="64" t="s">
        <v>2543</v>
      </c>
      <c r="B66" s="101" t="str">
        <f>IF(U62&lt;&gt;"",U62,"")</f>
        <v/>
      </c>
      <c r="C66" s="57" t="str">
        <f ca="1">VLOOKUP(A66,DB_TBL_DATA_FIELDS[[FIELD_ID]:[PCT_CALC_FIELD_STATUS_CODE]],22,FALSE)</f>
        <v/>
      </c>
      <c r="D66" s="57" t="str">
        <f>IF(VLOOKUP(A66,DB_TBL_DATA_FIELDS[[FIELD_ID]:[ERROR_MESSAGE]],23,FALSE)&lt;&gt;0,VLOOKUP(A66,DB_TBL_DATA_FIELDS[[FIELD_ID]:[ERROR_MESSAGE]],23,FALSE),"")</f>
        <v/>
      </c>
      <c r="E66" s="57">
        <f>VLOOKUP(A66,DB_TBL_DATA_FIELDS[[#All],[FIELD_ID]:[RANGE_VALIDATION_MAX]],18,FALSE)</f>
        <v>0</v>
      </c>
      <c r="F66" s="57">
        <f>VLOOKUP(A66,DB_TBL_DATA_FIELDS[[#All],[FIELD_ID]:[RANGE_VALIDATION_MAX]],19,FALSE)</f>
        <v>999999999</v>
      </c>
      <c r="G66" s="57" t="str">
        <f t="shared" ca="1" si="4"/>
        <v/>
      </c>
      <c r="I66" s="39" t="s">
        <v>2608</v>
      </c>
      <c r="J66" s="39"/>
      <c r="K66" s="39"/>
      <c r="L66" s="39"/>
      <c r="M66" s="39"/>
      <c r="N66" s="39"/>
      <c r="O66" s="39"/>
      <c r="P66" s="39"/>
      <c r="Q66" s="39"/>
      <c r="R66" s="39"/>
      <c r="S66" s="39"/>
      <c r="T66" s="136"/>
      <c r="U66" s="136"/>
      <c r="V66" s="39"/>
      <c r="W66" s="43"/>
      <c r="X66" s="55" t="str">
        <f ca="1">G72</f>
        <v/>
      </c>
    </row>
    <row r="67" spans="1:24" ht="21.95" customHeight="1" x14ac:dyDescent="0.25">
      <c r="A67" s="64" t="s">
        <v>2546</v>
      </c>
      <c r="B67" s="101" t="str">
        <f>IF(U61&lt;&gt;"",U61,"")</f>
        <v/>
      </c>
      <c r="C67" s="57" t="str">
        <f ca="1">VLOOKUP(A67,DB_TBL_DATA_FIELDS[[FIELD_ID]:[PCT_CALC_FIELD_STATUS_CODE]],22,FALSE)</f>
        <v/>
      </c>
      <c r="D67" s="57" t="str">
        <f>IF(VLOOKUP(A67,DB_TBL_DATA_FIELDS[[FIELD_ID]:[ERROR_MESSAGE]],23,FALSE)&lt;&gt;0,VLOOKUP(A67,DB_TBL_DATA_FIELDS[[FIELD_ID]:[ERROR_MESSAGE]],23,FALSE),"")</f>
        <v/>
      </c>
      <c r="E67" s="57">
        <f>VLOOKUP(A67,DB_TBL_DATA_FIELDS[[#All],[FIELD_ID]:[RANGE_VALIDATION_MAX]],18,FALSE)</f>
        <v>0</v>
      </c>
      <c r="F67" s="57">
        <f>VLOOKUP(A67,DB_TBL_DATA_FIELDS[[#All],[FIELD_ID]:[RANGE_VALIDATION_MAX]],19,FALSE)</f>
        <v>999999999</v>
      </c>
      <c r="G67" s="57" t="str">
        <f t="shared" ca="1" si="4"/>
        <v/>
      </c>
      <c r="I67" s="39"/>
      <c r="J67" s="39"/>
      <c r="K67" s="39"/>
      <c r="L67" s="39"/>
      <c r="M67" s="39"/>
      <c r="N67" s="39"/>
      <c r="O67" s="39"/>
      <c r="P67" s="39"/>
      <c r="Q67" s="39"/>
      <c r="R67" s="39"/>
      <c r="S67" s="39"/>
      <c r="T67" s="39"/>
      <c r="U67" s="39"/>
      <c r="V67" s="39"/>
      <c r="W67" s="39"/>
      <c r="X67" s="39"/>
    </row>
    <row r="68" spans="1:24" ht="21.95" customHeight="1" x14ac:dyDescent="0.25">
      <c r="A68" s="64" t="s">
        <v>2544</v>
      </c>
      <c r="B68" s="101" t="str">
        <f>IF(M48&lt;&gt;"",M48,"")</f>
        <v/>
      </c>
      <c r="C68" s="57" t="str">
        <f ca="1">VLOOKUP(A68,DB_TBL_DATA_FIELDS[[FIELD_ID]:[PCT_CALC_FIELD_STATUS_CODE]],22,FALSE)</f>
        <v/>
      </c>
      <c r="D68" s="57" t="str">
        <f>IF(VLOOKUP(A68,DB_TBL_DATA_FIELDS[[FIELD_ID]:[ERROR_MESSAGE]],23,FALSE)&lt;&gt;0,VLOOKUP(A68,DB_TBL_DATA_FIELDS[[FIELD_ID]:[ERROR_MESSAGE]],23,FALSE),"")</f>
        <v/>
      </c>
      <c r="E68" s="57">
        <f>VLOOKUP(A68,DB_TBL_DATA_FIELDS[[#All],[FIELD_ID]:[RANGE_VALIDATION_MAX]],18,FALSE)</f>
        <v>1</v>
      </c>
      <c r="F68" s="57">
        <f>VLOOKUP(A68,DB_TBL_DATA_FIELDS[[#All],[FIELD_ID]:[RANGE_VALIDATION_MAX]],19,FALSE)</f>
        <v>999999999</v>
      </c>
      <c r="G68" s="57" t="str">
        <f t="shared" ca="1" si="4"/>
        <v/>
      </c>
      <c r="I68" s="39" t="s">
        <v>2577</v>
      </c>
      <c r="J68" s="39"/>
      <c r="K68" s="39"/>
      <c r="L68" s="39"/>
      <c r="O68" s="39" t="s">
        <v>2601</v>
      </c>
      <c r="P68" s="39"/>
      <c r="S68" s="39"/>
      <c r="T68" s="39"/>
      <c r="U68" s="39" t="s">
        <v>2602</v>
      </c>
      <c r="V68" s="39"/>
      <c r="W68" s="39"/>
      <c r="X68" s="39"/>
    </row>
    <row r="69" spans="1:24" ht="21.95" customHeight="1" x14ac:dyDescent="0.25">
      <c r="A69" s="64" t="s">
        <v>2547</v>
      </c>
      <c r="B69" s="101" t="str">
        <f>IF(Q48&lt;&gt;"",Q48,"")</f>
        <v/>
      </c>
      <c r="C69" s="57" t="str">
        <f ca="1">VLOOKUP(A69,DB_TBL_DATA_FIELDS[[FIELD_ID]:[PCT_CALC_FIELD_STATUS_CODE]],22,FALSE)</f>
        <v/>
      </c>
      <c r="D69" s="57" t="str">
        <f>IF(VLOOKUP(A69,DB_TBL_DATA_FIELDS[[FIELD_ID]:[ERROR_MESSAGE]],23,FALSE)&lt;&gt;0,VLOOKUP(A69,DB_TBL_DATA_FIELDS[[FIELD_ID]:[ERROR_MESSAGE]],23,FALSE),"")</f>
        <v/>
      </c>
      <c r="E69" s="57">
        <f>VLOOKUP(A69,DB_TBL_DATA_FIELDS[[#All],[FIELD_ID]:[RANGE_VALIDATION_MAX]],18,FALSE)</f>
        <v>0</v>
      </c>
      <c r="F69" s="57">
        <f>VLOOKUP(A69,DB_TBL_DATA_FIELDS[[#All],[FIELD_ID]:[RANGE_VALIDATION_MAX]],19,FALSE)</f>
        <v>0.5</v>
      </c>
      <c r="G69" s="57" t="str">
        <f t="shared" ca="1" si="4"/>
        <v/>
      </c>
      <c r="I69" s="301"/>
      <c r="J69" s="301"/>
      <c r="K69" s="301"/>
      <c r="L69" s="55" t="str">
        <f ca="1">G73</f>
        <v/>
      </c>
      <c r="O69" s="347"/>
      <c r="P69" s="348"/>
      <c r="Q69" s="349"/>
      <c r="R69" s="55" t="str">
        <f ca="1">G74</f>
        <v/>
      </c>
      <c r="S69" s="39"/>
      <c r="T69" s="39"/>
      <c r="U69" s="344"/>
      <c r="V69" s="345"/>
      <c r="W69" s="346"/>
      <c r="X69" s="55" t="str">
        <f ca="1">G75</f>
        <v/>
      </c>
    </row>
    <row r="70" spans="1:24" ht="21.95" customHeight="1" x14ac:dyDescent="0.25">
      <c r="A70" s="64" t="s">
        <v>2548</v>
      </c>
      <c r="B70" s="101" t="str">
        <f>IF(S48&lt;&gt;"",S48,"")</f>
        <v/>
      </c>
      <c r="C70" s="57" t="str">
        <f ca="1">VLOOKUP(A70,DB_TBL_DATA_FIELDS[[FIELD_ID]:[PCT_CALC_FIELD_STATUS_CODE]],22,FALSE)</f>
        <v/>
      </c>
      <c r="D70" s="57" t="str">
        <f>IF(VLOOKUP(A70,DB_TBL_DATA_FIELDS[[FIELD_ID]:[ERROR_MESSAGE]],23,FALSE)&lt;&gt;0,VLOOKUP(A70,DB_TBL_DATA_FIELDS[[FIELD_ID]:[ERROR_MESSAGE]],23,FALSE),"")</f>
        <v/>
      </c>
      <c r="E70" s="57">
        <f>VLOOKUP(A70,DB_TBL_DATA_FIELDS[[#All],[FIELD_ID]:[RANGE_VALIDATION_MAX]],18,FALSE)</f>
        <v>1</v>
      </c>
      <c r="F70" s="57">
        <f>VLOOKUP(A70,DB_TBL_DATA_FIELDS[[#All],[FIELD_ID]:[RANGE_VALIDATION_MAX]],19,FALSE)</f>
        <v>600</v>
      </c>
      <c r="G70" s="57" t="str">
        <f t="shared" ca="1" si="4"/>
        <v/>
      </c>
      <c r="I70" s="39"/>
      <c r="J70" s="39"/>
      <c r="K70" s="39"/>
      <c r="L70" s="39"/>
      <c r="M70" s="39"/>
      <c r="N70" s="39"/>
      <c r="O70" s="39"/>
      <c r="P70" s="39"/>
      <c r="Q70" s="39"/>
      <c r="R70" s="39"/>
      <c r="S70" s="39"/>
      <c r="T70" s="39"/>
      <c r="U70" s="39"/>
      <c r="V70" s="39"/>
      <c r="W70" s="39"/>
      <c r="X70" s="39"/>
    </row>
    <row r="71" spans="1:24" ht="21.95" customHeight="1" thickBot="1" x14ac:dyDescent="0.3">
      <c r="A71" s="64" t="s">
        <v>2549</v>
      </c>
      <c r="B71" s="101" t="str">
        <f>IF(U48&lt;&gt;"",U48,"")</f>
        <v/>
      </c>
      <c r="C71" s="57" t="str">
        <f ca="1">VLOOKUP(A71,DB_TBL_DATA_FIELDS[[FIELD_ID]:[PCT_CALC_FIELD_STATUS_CODE]],22,FALSE)</f>
        <v/>
      </c>
      <c r="D71" s="57" t="str">
        <f>IF(VLOOKUP(A71,DB_TBL_DATA_FIELDS[[FIELD_ID]:[ERROR_MESSAGE]],23,FALSE)&lt;&gt;0,VLOOKUP(A71,DB_TBL_DATA_FIELDS[[FIELD_ID]:[ERROR_MESSAGE]],23,FALSE),"")</f>
        <v/>
      </c>
      <c r="E71" s="57">
        <f>VLOOKUP(A71,DB_TBL_DATA_FIELDS[[#All],[FIELD_ID]:[RANGE_VALIDATION_MAX]],18,FALSE)</f>
        <v>0</v>
      </c>
      <c r="F71" s="57">
        <f>VLOOKUP(A71,DB_TBL_DATA_FIELDS[[#All],[FIELD_ID]:[RANGE_VALIDATION_MAX]],19,FALSE)</f>
        <v>100</v>
      </c>
      <c r="G71" s="57" t="str">
        <f t="shared" ca="1" si="4"/>
        <v/>
      </c>
      <c r="I71" s="58" t="str">
        <f>B90</f>
        <v>Other Grants</v>
      </c>
      <c r="J71" s="58"/>
      <c r="K71" s="58"/>
      <c r="L71" s="58"/>
      <c r="M71" s="58"/>
      <c r="N71" s="58"/>
      <c r="O71" s="58"/>
      <c r="P71" s="58"/>
      <c r="Q71" s="58"/>
      <c r="R71" s="58"/>
      <c r="S71" s="58"/>
      <c r="T71" s="58"/>
      <c r="U71" s="58"/>
      <c r="V71" s="58"/>
      <c r="W71" s="58"/>
      <c r="X71" s="59" t="str">
        <f ca="1">"Status: "&amp;$B$108</f>
        <v>Status: Optional</v>
      </c>
    </row>
    <row r="72" spans="1:24" ht="21.95" customHeight="1" x14ac:dyDescent="0.25">
      <c r="A72" s="64" t="s">
        <v>2564</v>
      </c>
      <c r="B72" s="101" t="str">
        <f>IF(W66="","",IF(UPPER(W66)="YES",TRUE,FALSE))</f>
        <v/>
      </c>
      <c r="C72" s="57" t="str">
        <f ca="1">VLOOKUP(A72,DB_TBL_DATA_FIELDS[[FIELD_ID]:[PCT_CALC_FIELD_STATUS_CODE]],22,FALSE)</f>
        <v/>
      </c>
      <c r="D72" s="57" t="str">
        <f>IF(VLOOKUP(A72,DB_TBL_DATA_FIELDS[[FIELD_ID]:[ERROR_MESSAGE]],23,FALSE)&lt;&gt;0,VLOOKUP(A72,DB_TBL_DATA_FIELDS[[FIELD_ID]:[ERROR_MESSAGE]],23,FALSE),"")</f>
        <v/>
      </c>
      <c r="E72" s="57">
        <f>VLOOKUP(A72,DB_TBL_DATA_FIELDS[[#All],[FIELD_ID]:[RANGE_VALIDATION_MAX]],18,FALSE)</f>
        <v>0</v>
      </c>
      <c r="F72" s="57">
        <f>VLOOKUP(A72,DB_TBL_DATA_FIELDS[[#All],[FIELD_ID]:[RANGE_VALIDATION_MAX]],19,FALSE)</f>
        <v>0</v>
      </c>
      <c r="G72" s="57" t="str">
        <f t="shared" ca="1" si="4"/>
        <v/>
      </c>
    </row>
    <row r="73" spans="1:24" ht="21.95" customHeight="1" x14ac:dyDescent="0.25">
      <c r="A73" s="64" t="s">
        <v>2551</v>
      </c>
      <c r="B73" s="101" t="str">
        <f>IF(I69&lt;&gt;"",I69,"")</f>
        <v/>
      </c>
      <c r="C73" s="57" t="str">
        <f ca="1">VLOOKUP(A73,DB_TBL_DATA_FIELDS[[FIELD_ID]:[PCT_CALC_FIELD_STATUS_CODE]],22,FALSE)</f>
        <v/>
      </c>
      <c r="D73" s="57" t="str">
        <f>IF(VLOOKUP(A73,DB_TBL_DATA_FIELDS[[FIELD_ID]:[ERROR_MESSAGE]],23,FALSE)&lt;&gt;0,VLOOKUP(A73,DB_TBL_DATA_FIELDS[[FIELD_ID]:[ERROR_MESSAGE]],23,FALSE),"")</f>
        <v/>
      </c>
      <c r="E73" s="57">
        <f>VLOOKUP(A73,DB_TBL_DATA_FIELDS[[#All],[FIELD_ID]:[RANGE_VALIDATION_MAX]],18,FALSE)</f>
        <v>1</v>
      </c>
      <c r="F73" s="57">
        <f>VLOOKUP(A73,DB_TBL_DATA_FIELDS[[#All],[FIELD_ID]:[RANGE_VALIDATION_MAX]],19,FALSE)</f>
        <v>999999999</v>
      </c>
      <c r="G73" s="57" t="str">
        <f t="shared" ca="1" si="4"/>
        <v/>
      </c>
      <c r="J73"/>
      <c r="L73"/>
      <c r="N73"/>
      <c r="P73"/>
      <c r="R73"/>
      <c r="T73"/>
      <c r="V73"/>
      <c r="X73"/>
    </row>
    <row r="74" spans="1:24" ht="21.95" customHeight="1" x14ac:dyDescent="0.25">
      <c r="A74" s="64" t="s">
        <v>2552</v>
      </c>
      <c r="B74" s="101" t="str">
        <f>IF(O69&lt;&gt;"",O69,"")</f>
        <v/>
      </c>
      <c r="C74" s="57" t="str">
        <f ca="1">VLOOKUP(A74,DB_TBL_DATA_FIELDS[[FIELD_ID]:[PCT_CALC_FIELD_STATUS_CODE]],22,FALSE)</f>
        <v/>
      </c>
      <c r="D74" s="57" t="str">
        <f>IF(VLOOKUP(A74,DB_TBL_DATA_FIELDS[[FIELD_ID]:[ERROR_MESSAGE]],23,FALSE)&lt;&gt;0,VLOOKUP(A74,DB_TBL_DATA_FIELDS[[FIELD_ID]:[ERROR_MESSAGE]],23,FALSE),"")</f>
        <v/>
      </c>
      <c r="E74" s="57">
        <f>VLOOKUP(A74,DB_TBL_DATA_FIELDS[[#All],[FIELD_ID]:[RANGE_VALIDATION_MAX]],18,FALSE)</f>
        <v>0</v>
      </c>
      <c r="F74" s="57">
        <f>VLOOKUP(A74,DB_TBL_DATA_FIELDS[[#All],[FIELD_ID]:[RANGE_VALIDATION_MAX]],19,FALSE)</f>
        <v>0.5</v>
      </c>
      <c r="G74" s="57" t="str">
        <f t="shared" ca="1" si="4"/>
        <v/>
      </c>
      <c r="I74" s="39" t="s">
        <v>2607</v>
      </c>
      <c r="J74" s="39"/>
      <c r="K74" s="39"/>
      <c r="L74" s="39"/>
      <c r="M74" s="39"/>
      <c r="N74" s="39"/>
      <c r="O74" s="39"/>
      <c r="P74" s="39"/>
      <c r="Q74" s="39"/>
      <c r="R74" s="39"/>
      <c r="S74" s="39"/>
      <c r="T74" s="136"/>
      <c r="U74" s="136"/>
      <c r="V74" s="39"/>
      <c r="W74" s="43"/>
      <c r="X74" s="55" t="str">
        <f ca="1">G100</f>
        <v/>
      </c>
    </row>
    <row r="75" spans="1:24" ht="21.95" customHeight="1" x14ac:dyDescent="0.25">
      <c r="A75" s="64" t="s">
        <v>2553</v>
      </c>
      <c r="B75" s="101" t="str">
        <f>IF(U69&lt;&gt;"",U69,"")</f>
        <v/>
      </c>
      <c r="C75" s="57" t="str">
        <f ca="1">VLOOKUP(A75,DB_TBL_DATA_FIELDS[[FIELD_ID]:[PCT_CALC_FIELD_STATUS_CODE]],22,FALSE)</f>
        <v/>
      </c>
      <c r="D75" s="57" t="str">
        <f>IF(VLOOKUP(A75,DB_TBL_DATA_FIELDS[[FIELD_ID]:[ERROR_MESSAGE]],23,FALSE)&lt;&gt;0,VLOOKUP(A75,DB_TBL_DATA_FIELDS[[FIELD_ID]:[ERROR_MESSAGE]],23,FALSE),"")</f>
        <v/>
      </c>
      <c r="E75" s="57">
        <f>VLOOKUP(A75,DB_TBL_DATA_FIELDS[[#All],[FIELD_ID]:[RANGE_VALIDATION_MAX]],18,FALSE)</f>
        <v>1</v>
      </c>
      <c r="F75" s="57">
        <f>VLOOKUP(A75,DB_TBL_DATA_FIELDS[[#All],[FIELD_ID]:[RANGE_VALIDATION_MAX]],19,FALSE)</f>
        <v>600</v>
      </c>
      <c r="G75" s="57" t="str">
        <f t="shared" ca="1" si="4"/>
        <v/>
      </c>
      <c r="I75" s="39" t="s">
        <v>2605</v>
      </c>
      <c r="J75"/>
      <c r="L75"/>
      <c r="N75"/>
      <c r="P75"/>
      <c r="R75"/>
      <c r="T75"/>
      <c r="U75" s="39" t="s">
        <v>2600</v>
      </c>
      <c r="V75"/>
      <c r="X75"/>
    </row>
    <row r="76" spans="1:24" ht="21.95" customHeight="1" x14ac:dyDescent="0.25">
      <c r="A76" s="64" t="s">
        <v>156</v>
      </c>
      <c r="B76" s="68" t="str">
        <f>"C"&amp;MATCH(LEFT(A76,LEN(A76)-LEN("_RANGE")),A:A,0)+1&amp;":C"&amp;(ROW()-1)</f>
        <v>C61:C75</v>
      </c>
      <c r="C76" s="57"/>
      <c r="D76" s="57"/>
      <c r="E76" s="57"/>
      <c r="F76" s="57"/>
      <c r="G76" s="57"/>
      <c r="I76" s="291"/>
      <c r="J76" s="292"/>
      <c r="K76" s="292"/>
      <c r="L76" s="292"/>
      <c r="M76" s="292"/>
      <c r="N76" s="292"/>
      <c r="O76" s="292"/>
      <c r="P76" s="292"/>
      <c r="Q76" s="292"/>
      <c r="R76" s="292"/>
      <c r="S76" s="293"/>
      <c r="T76" s="55" t="str">
        <f ca="1">G101</f>
        <v/>
      </c>
      <c r="U76" s="342"/>
      <c r="V76" s="342"/>
      <c r="W76" s="342"/>
      <c r="X76" s="55" t="str">
        <f ca="1">G102</f>
        <v/>
      </c>
    </row>
    <row r="77" spans="1:24" ht="21.95" customHeight="1" x14ac:dyDescent="0.25">
      <c r="A77" s="64" t="s">
        <v>157</v>
      </c>
      <c r="B77" s="68">
        <f ca="1">COUNTIF(INDIRECT($B76),2)</f>
        <v>0</v>
      </c>
      <c r="C77" s="57"/>
      <c r="D77" s="57"/>
      <c r="E77" s="57"/>
      <c r="F77" s="57"/>
      <c r="G77" s="57"/>
    </row>
    <row r="78" spans="1:24" ht="21.95" customHeight="1" thickBot="1" x14ac:dyDescent="0.3">
      <c r="A78" s="64" t="s">
        <v>158</v>
      </c>
      <c r="B78" s="68">
        <f ca="1">COUNTIF(INDIRECT($B76),0)+COUNTIF(INDIRECT($B76),1)+COUNTIF(INDIRECT($B76),2)</f>
        <v>0</v>
      </c>
      <c r="C78" s="57"/>
      <c r="D78" s="57"/>
      <c r="E78" s="57"/>
      <c r="F78" s="57"/>
      <c r="G78" s="57"/>
      <c r="I78" s="141"/>
      <c r="J78" s="141"/>
      <c r="K78" s="141"/>
      <c r="L78" s="141"/>
      <c r="M78" s="141"/>
      <c r="N78" s="141"/>
      <c r="O78" s="141"/>
      <c r="P78" s="141"/>
      <c r="Q78" s="141"/>
      <c r="R78" s="141"/>
      <c r="S78" s="141"/>
      <c r="T78" s="141"/>
      <c r="U78" s="141"/>
      <c r="V78" s="141"/>
      <c r="W78" s="141"/>
      <c r="X78"/>
    </row>
    <row r="79" spans="1:24" ht="21.95" customHeight="1" thickTop="1" x14ac:dyDescent="0.25">
      <c r="A79" s="64" t="s">
        <v>159</v>
      </c>
      <c r="B79" s="68">
        <f ca="1">COUNTIF(INDIRECT($B76),0)</f>
        <v>0</v>
      </c>
      <c r="C79" s="57"/>
      <c r="D79" s="57"/>
      <c r="E79" s="57"/>
      <c r="F79" s="57"/>
      <c r="G79" s="57"/>
    </row>
    <row r="80" spans="1:24" ht="21.95" customHeight="1" x14ac:dyDescent="0.25">
      <c r="A80" s="64" t="s">
        <v>160</v>
      </c>
      <c r="B80" s="103">
        <f ca="1">IFERROR(B77/B78,1.01)</f>
        <v>1.01</v>
      </c>
      <c r="C80" s="57"/>
      <c r="D80" s="57"/>
      <c r="E80" s="57"/>
      <c r="F80" s="57"/>
      <c r="G80" s="57"/>
      <c r="I80" s="39" t="s">
        <v>2606</v>
      </c>
      <c r="J80" s="39"/>
      <c r="K80" s="39"/>
      <c r="L80" s="39"/>
      <c r="M80" s="39"/>
      <c r="N80" s="39"/>
      <c r="O80" s="39"/>
      <c r="P80" s="39"/>
      <c r="Q80" s="39"/>
      <c r="R80" s="39"/>
      <c r="S80" s="39"/>
      <c r="T80" s="136"/>
      <c r="U80" s="136"/>
      <c r="V80" s="39"/>
      <c r="W80" s="43"/>
      <c r="X80" s="55" t="str">
        <f ca="1">G91</f>
        <v/>
      </c>
    </row>
    <row r="81" spans="1:24" ht="21.95" customHeight="1" x14ac:dyDescent="0.25">
      <c r="A81" s="64" t="s">
        <v>161</v>
      </c>
      <c r="B81" s="68" t="str">
        <f ca="1">IF(B79&gt;0,"Data Error(s)",IF(B80=0,"Not Started",IF(B80&lt;1,ROUNDUP(B80*100,0)&amp;"% Done",IF(B80&gt;1,"Optional","Complete"))))</f>
        <v>Optional</v>
      </c>
      <c r="C81" s="57"/>
      <c r="D81" s="57"/>
      <c r="E81" s="57"/>
      <c r="F81" s="57"/>
      <c r="G81" s="57"/>
      <c r="J81"/>
      <c r="L81"/>
      <c r="N81"/>
      <c r="P81"/>
      <c r="R81"/>
      <c r="T81"/>
      <c r="V81"/>
      <c r="X81"/>
    </row>
    <row r="82" spans="1:24" ht="21.95" customHeight="1" x14ac:dyDescent="0.25">
      <c r="A82" s="64" t="s">
        <v>162</v>
      </c>
      <c r="B82" s="68">
        <f ca="1">IF(B79&gt;0,0,IF(B80&lt;1,"",2))</f>
        <v>2</v>
      </c>
      <c r="C82" s="57"/>
      <c r="D82" s="57"/>
      <c r="E82" s="57"/>
      <c r="F82" s="57"/>
      <c r="G82" s="57"/>
      <c r="I82" s="311" t="s">
        <v>2605</v>
      </c>
      <c r="J82" s="311"/>
      <c r="K82" s="311"/>
      <c r="L82" s="311"/>
      <c r="M82" s="311"/>
      <c r="N82" s="311"/>
      <c r="O82" s="311"/>
      <c r="P82" s="311"/>
      <c r="Q82" s="311"/>
      <c r="R82" s="311"/>
      <c r="S82" s="311"/>
      <c r="T82" s="311"/>
      <c r="U82" s="343" t="s">
        <v>2600</v>
      </c>
      <c r="V82" s="343"/>
      <c r="W82" s="343"/>
      <c r="X82" s="343"/>
    </row>
    <row r="83" spans="1:24" ht="21.95" customHeight="1" x14ac:dyDescent="0.25">
      <c r="A83" s="64" t="s">
        <v>163</v>
      </c>
      <c r="B83" s="102" t="s">
        <v>2596</v>
      </c>
      <c r="C83" s="57"/>
      <c r="D83" s="57"/>
      <c r="E83" s="57"/>
      <c r="F83" s="57"/>
      <c r="G83" s="57"/>
      <c r="I83" s="283"/>
      <c r="J83" s="284"/>
      <c r="K83" s="284"/>
      <c r="L83" s="284"/>
      <c r="M83" s="284"/>
      <c r="N83" s="284"/>
      <c r="O83" s="284"/>
      <c r="P83" s="284"/>
      <c r="Q83" s="284"/>
      <c r="R83" s="284"/>
      <c r="S83" s="284"/>
      <c r="T83" s="69" t="str">
        <f ca="1">G92</f>
        <v/>
      </c>
      <c r="U83" s="340"/>
      <c r="V83" s="341"/>
      <c r="W83" s="341"/>
      <c r="X83" s="69" t="str">
        <f ca="1">G93</f>
        <v/>
      </c>
    </row>
    <row r="84" spans="1:24" ht="21.95" customHeight="1" x14ac:dyDescent="0.25">
      <c r="A84" s="80" t="s">
        <v>2858</v>
      </c>
      <c r="B84" s="68" t="str">
        <f ca="1">IF(DATA_HSEHLD_CONTRIBUTION_AMT&lt;&gt;"",IF(VALUE(DATA_HSEHLD_CONTRIBUTION_AMT)&lt;VALUE(CONFIG_MIN_HOUSEHOLD_CONTRIB_AMT),'$DB.CONFIG'!$M$3,""),"")</f>
        <v/>
      </c>
      <c r="C84" s="57">
        <f ca="1">IF(B84="",0,1)</f>
        <v>0</v>
      </c>
      <c r="D84" s="57"/>
      <c r="E84" s="57"/>
      <c r="F84" s="57"/>
      <c r="G84" s="57"/>
      <c r="I84" s="283"/>
      <c r="J84" s="284"/>
      <c r="K84" s="284"/>
      <c r="L84" s="284"/>
      <c r="M84" s="284"/>
      <c r="N84" s="284"/>
      <c r="O84" s="284"/>
      <c r="P84" s="284"/>
      <c r="Q84" s="284"/>
      <c r="R84" s="284"/>
      <c r="S84" s="284"/>
      <c r="T84" s="69" t="str">
        <f ca="1">G94</f>
        <v/>
      </c>
      <c r="U84" s="340"/>
      <c r="V84" s="341"/>
      <c r="W84" s="341"/>
      <c r="X84" s="69" t="str">
        <f ca="1">G95</f>
        <v/>
      </c>
    </row>
    <row r="85" spans="1:24" ht="21.95" customHeight="1" x14ac:dyDescent="0.25">
      <c r="A85" s="80" t="s">
        <v>2868</v>
      </c>
      <c r="B85" s="68" t="str">
        <f ca="1">IF(DATA_LTV&lt;&gt;"",IF(VALUE(DATA_LTV)&gt;VALUE(CONFIG_MAX_LTV_RATIO),'$DB.CONFIG'!$M$3,""),"")</f>
        <v/>
      </c>
      <c r="C85" s="57">
        <f t="shared" ref="C85:C87" ca="1" si="6">IF(B85="",0,1)</f>
        <v>0</v>
      </c>
      <c r="D85" s="57"/>
      <c r="E85" s="57"/>
      <c r="F85" s="57"/>
      <c r="G85" s="57"/>
      <c r="I85" s="283"/>
      <c r="J85" s="284"/>
      <c r="K85" s="284"/>
      <c r="L85" s="284"/>
      <c r="M85" s="284"/>
      <c r="N85" s="284"/>
      <c r="O85" s="284"/>
      <c r="P85" s="284"/>
      <c r="Q85" s="284"/>
      <c r="R85" s="284"/>
      <c r="S85" s="284"/>
      <c r="T85" s="69" t="str">
        <f ca="1">G96</f>
        <v/>
      </c>
      <c r="U85" s="340"/>
      <c r="V85" s="341"/>
      <c r="W85" s="341"/>
      <c r="X85" s="69" t="str">
        <f ca="1">G97</f>
        <v/>
      </c>
    </row>
    <row r="86" spans="1:24" ht="21.95" customHeight="1" x14ac:dyDescent="0.25">
      <c r="A86" s="80" t="s">
        <v>2869</v>
      </c>
      <c r="B86" s="68" t="str">
        <f ca="1">IF(DATA_HOUSING_EXP_INC_RATIO&lt;&gt;"",IF(VALUE(DATA_HOUSING_EXP_INC_RATIO)&gt;VALUE(CONFIG_MAX_DTI_FE_RATIO),'$DB.CONFIG'!$M$3,""),"")</f>
        <v/>
      </c>
      <c r="C86" s="57">
        <f t="shared" ca="1" si="6"/>
        <v>0</v>
      </c>
      <c r="D86" s="57"/>
      <c r="E86" s="57"/>
      <c r="F86" s="57"/>
      <c r="G86" s="57"/>
      <c r="I86" s="283"/>
      <c r="J86" s="284"/>
      <c r="K86" s="284"/>
      <c r="L86" s="284"/>
      <c r="M86" s="284"/>
      <c r="N86" s="284"/>
      <c r="O86" s="284"/>
      <c r="P86" s="284"/>
      <c r="Q86" s="284"/>
      <c r="R86" s="284"/>
      <c r="S86" s="284"/>
      <c r="T86" s="69" t="str">
        <f ca="1">G98</f>
        <v/>
      </c>
      <c r="U86" s="340"/>
      <c r="V86" s="341"/>
      <c r="W86" s="341"/>
      <c r="X86" s="69" t="str">
        <f ca="1">G99</f>
        <v/>
      </c>
    </row>
    <row r="87" spans="1:24" ht="21.95" customHeight="1" x14ac:dyDescent="0.25">
      <c r="A87" s="80" t="s">
        <v>2870</v>
      </c>
      <c r="B87" s="68" t="str">
        <f ca="1">IF(DATA_TOTAL_DEBT_INC_RATIO&lt;&gt;"",IF(VALUE(DATA_TOTAL_DEBT_INC_RATIO)&gt;VALUE(CONFIG_MAX_DTI_BE_RATIO),'$DB.CONFIG'!$M$3,""),"")</f>
        <v/>
      </c>
      <c r="C87" s="57">
        <f t="shared" ca="1" si="6"/>
        <v>0</v>
      </c>
      <c r="D87" s="57"/>
      <c r="E87" s="57"/>
      <c r="F87" s="57"/>
      <c r="G87" s="57"/>
      <c r="J87"/>
      <c r="L87"/>
      <c r="N87"/>
      <c r="P87"/>
      <c r="R87"/>
      <c r="T87"/>
      <c r="V87"/>
      <c r="X87"/>
    </row>
    <row r="88" spans="1:24" ht="21.95" customHeight="1" thickBot="1" x14ac:dyDescent="0.3">
      <c r="A88" s="80" t="s">
        <v>2163</v>
      </c>
      <c r="B88" s="68">
        <f ca="1">COUNTIF(C84:C87,1)</f>
        <v>0</v>
      </c>
      <c r="C88" s="57"/>
      <c r="D88" s="57"/>
      <c r="E88" s="57"/>
      <c r="F88" s="57"/>
      <c r="G88" s="57"/>
      <c r="I88" s="58" t="str">
        <f>B113</f>
        <v>Member Certification</v>
      </c>
      <c r="J88" s="58"/>
      <c r="K88" s="58"/>
      <c r="L88" s="58"/>
      <c r="M88" s="58"/>
      <c r="N88" s="58"/>
      <c r="O88" s="58"/>
      <c r="P88" s="58"/>
      <c r="Q88" s="58"/>
      <c r="R88" s="58"/>
      <c r="S88" s="58"/>
      <c r="T88" s="58"/>
      <c r="U88" s="58"/>
      <c r="V88" s="58"/>
      <c r="W88" s="58"/>
      <c r="X88" s="59" t="str">
        <f ca="1">"Status: "&amp;$B$124</f>
        <v>Status: Not Started</v>
      </c>
    </row>
    <row r="89" spans="1:24" ht="21.95" customHeight="1" x14ac:dyDescent="0.25">
      <c r="A89" s="80" t="s">
        <v>2164</v>
      </c>
      <c r="B89" s="68" t="b">
        <f ca="1">(B88&gt;0)</f>
        <v>0</v>
      </c>
      <c r="C89" s="57"/>
      <c r="D89" s="57"/>
      <c r="E89" s="57"/>
      <c r="F89" s="57"/>
      <c r="G89" s="57"/>
      <c r="J89"/>
      <c r="V89"/>
      <c r="X89"/>
    </row>
    <row r="90" spans="1:24" ht="21.95" customHeight="1" x14ac:dyDescent="0.25">
      <c r="A90" s="97" t="s">
        <v>165</v>
      </c>
      <c r="B90" s="99" t="s">
        <v>2597</v>
      </c>
      <c r="C90" s="98"/>
      <c r="D90" s="98"/>
      <c r="E90" s="98"/>
      <c r="F90" s="98"/>
      <c r="G90" s="98"/>
      <c r="I90" s="282" t="s">
        <v>2955</v>
      </c>
      <c r="J90" s="282"/>
      <c r="K90" s="282"/>
      <c r="L90" s="282"/>
      <c r="M90" s="282"/>
      <c r="N90" s="282"/>
      <c r="O90" s="282"/>
      <c r="P90" s="282"/>
      <c r="Q90" s="282"/>
      <c r="R90" s="282"/>
      <c r="S90" s="282"/>
      <c r="T90" s="282"/>
      <c r="U90" s="282"/>
      <c r="V90" s="282"/>
      <c r="W90" s="282"/>
      <c r="X90" s="282"/>
    </row>
    <row r="91" spans="1:24" ht="21.95" customHeight="1" x14ac:dyDescent="0.25">
      <c r="A91" s="64" t="s">
        <v>2565</v>
      </c>
      <c r="B91" s="101" t="str">
        <f>IF(W80="","",IF(UPPER(W80)="YES",TRUE,FALSE))</f>
        <v/>
      </c>
      <c r="C91" s="57" t="str">
        <f ca="1">VLOOKUP(A91,DB_TBL_DATA_FIELDS[[FIELD_ID]:[PCT_CALC_FIELD_STATUS_CODE]],22,FALSE)</f>
        <v/>
      </c>
      <c r="D91" s="57" t="str">
        <f>IF(VLOOKUP(A91,DB_TBL_DATA_FIELDS[[FIELD_ID]:[ERROR_MESSAGE]],23,FALSE)&lt;&gt;0,VLOOKUP(A91,DB_TBL_DATA_FIELDS[[FIELD_ID]:[ERROR_MESSAGE]],23,FALSE),"")</f>
        <v/>
      </c>
      <c r="E91" s="57">
        <f>VLOOKUP(A91,DB_TBL_DATA_FIELDS[[#All],[FIELD_ID]:[RANGE_VALIDATION_MAX]],18,FALSE)</f>
        <v>0</v>
      </c>
      <c r="F91" s="57">
        <f>VLOOKUP(A91,DB_TBL_DATA_FIELDS[[#All],[FIELD_ID]:[RANGE_VALIDATION_MAX]],19,FALSE)</f>
        <v>0</v>
      </c>
      <c r="G91" s="57" t="str">
        <f t="shared" ref="G91" ca="1" si="7">IF(C91&lt;0,"",C91)</f>
        <v/>
      </c>
      <c r="I91" s="282"/>
      <c r="J91" s="282"/>
      <c r="K91" s="282"/>
      <c r="L91" s="282"/>
      <c r="M91" s="282"/>
      <c r="N91" s="282"/>
      <c r="O91" s="282"/>
      <c r="P91" s="282"/>
      <c r="Q91" s="282"/>
      <c r="R91" s="282"/>
      <c r="S91" s="282"/>
      <c r="T91" s="282"/>
      <c r="U91" s="282"/>
      <c r="V91" s="282"/>
      <c r="W91" s="282"/>
      <c r="X91" s="282"/>
    </row>
    <row r="92" spans="1:24" ht="21.95" customHeight="1" x14ac:dyDescent="0.25">
      <c r="A92" s="64" t="s">
        <v>2554</v>
      </c>
      <c r="B92" s="101" t="str">
        <f>IF(I83&lt;&gt;"",I83,"")</f>
        <v/>
      </c>
      <c r="C92" s="57" t="str">
        <f ca="1">VLOOKUP(A92,DB_TBL_DATA_FIELDS[[FIELD_ID]:[PCT_CALC_FIELD_STATUS_CODE]],22,FALSE)</f>
        <v/>
      </c>
      <c r="D92" s="57" t="str">
        <f>IF(VLOOKUP(A92,DB_TBL_DATA_FIELDS[[FIELD_ID]:[ERROR_MESSAGE]],23,FALSE)&lt;&gt;0,VLOOKUP(A92,DB_TBL_DATA_FIELDS[[FIELD_ID]:[ERROR_MESSAGE]],23,FALSE),"")</f>
        <v/>
      </c>
      <c r="E92" s="57">
        <f>VLOOKUP(A92,DB_TBL_DATA_FIELDS[[#All],[FIELD_ID]:[RANGE_VALIDATION_MAX]],18,FALSE)</f>
        <v>0</v>
      </c>
      <c r="F92" s="57">
        <f>VLOOKUP(A92,DB_TBL_DATA_FIELDS[[#All],[FIELD_ID]:[RANGE_VALIDATION_MAX]],19,FALSE)</f>
        <v>100</v>
      </c>
      <c r="G92" s="57" t="str">
        <f t="shared" ref="G92:G102" ca="1" si="8">IF(C92&lt;0,"",C92)</f>
        <v/>
      </c>
      <c r="I92" s="282"/>
      <c r="J92" s="282"/>
      <c r="K92" s="282"/>
      <c r="L92" s="282"/>
      <c r="M92" s="282"/>
      <c r="N92" s="282"/>
      <c r="O92" s="282"/>
      <c r="P92" s="282"/>
      <c r="Q92" s="282"/>
      <c r="R92" s="282"/>
      <c r="S92" s="282"/>
      <c r="T92" s="282"/>
      <c r="U92" s="282"/>
      <c r="V92" s="282"/>
      <c r="W92" s="282"/>
      <c r="X92" s="282"/>
    </row>
    <row r="93" spans="1:24" ht="21.95" customHeight="1" x14ac:dyDescent="0.25">
      <c r="A93" s="64" t="s">
        <v>2555</v>
      </c>
      <c r="B93" s="101" t="str">
        <f>IF(U83&lt;&gt;"",U83,"")</f>
        <v/>
      </c>
      <c r="C93" s="57" t="str">
        <f ca="1">VLOOKUP(A93,DB_TBL_DATA_FIELDS[[FIELD_ID]:[PCT_CALC_FIELD_STATUS_CODE]],22,FALSE)</f>
        <v/>
      </c>
      <c r="D93" s="57" t="str">
        <f>IF(VLOOKUP(A93,DB_TBL_DATA_FIELDS[[FIELD_ID]:[ERROR_MESSAGE]],23,FALSE)&lt;&gt;0,VLOOKUP(A93,DB_TBL_DATA_FIELDS[[FIELD_ID]:[ERROR_MESSAGE]],23,FALSE),"")</f>
        <v/>
      </c>
      <c r="E93" s="57">
        <f>VLOOKUP(A93,DB_TBL_DATA_FIELDS[[#All],[FIELD_ID]:[RANGE_VALIDATION_MAX]],18,FALSE)</f>
        <v>0</v>
      </c>
      <c r="F93" s="57">
        <f>VLOOKUP(A93,DB_TBL_DATA_FIELDS[[#All],[FIELD_ID]:[RANGE_VALIDATION_MAX]],19,FALSE)</f>
        <v>999999999</v>
      </c>
      <c r="G93" s="57" t="str">
        <f t="shared" ca="1" si="8"/>
        <v/>
      </c>
      <c r="I93" s="282"/>
      <c r="J93" s="282"/>
      <c r="K93" s="282"/>
      <c r="L93" s="282"/>
      <c r="M93" s="282"/>
      <c r="N93" s="282"/>
      <c r="O93" s="282"/>
      <c r="P93" s="282"/>
      <c r="Q93" s="282"/>
      <c r="R93" s="282"/>
      <c r="S93" s="282"/>
      <c r="T93" s="282"/>
      <c r="U93" s="282"/>
      <c r="V93" s="282"/>
      <c r="W93" s="282"/>
      <c r="X93" s="282"/>
    </row>
    <row r="94" spans="1:24" ht="21.95" customHeight="1" x14ac:dyDescent="0.25">
      <c r="A94" s="64" t="s">
        <v>2556</v>
      </c>
      <c r="B94" s="101" t="str">
        <f>IF(I84&lt;&gt;"",I84,"")</f>
        <v/>
      </c>
      <c r="C94" s="57" t="str">
        <f ca="1">VLOOKUP(A94,DB_TBL_DATA_FIELDS[[FIELD_ID]:[PCT_CALC_FIELD_STATUS_CODE]],22,FALSE)</f>
        <v/>
      </c>
      <c r="D94" s="57" t="str">
        <f>IF(VLOOKUP(A94,DB_TBL_DATA_FIELDS[[FIELD_ID]:[ERROR_MESSAGE]],23,FALSE)&lt;&gt;0,VLOOKUP(A94,DB_TBL_DATA_FIELDS[[FIELD_ID]:[ERROR_MESSAGE]],23,FALSE),"")</f>
        <v/>
      </c>
      <c r="E94" s="57">
        <f>VLOOKUP(A94,DB_TBL_DATA_FIELDS[[#All],[FIELD_ID]:[RANGE_VALIDATION_MAX]],18,FALSE)</f>
        <v>0</v>
      </c>
      <c r="F94" s="57">
        <f>VLOOKUP(A94,DB_TBL_DATA_FIELDS[[#All],[FIELD_ID]:[RANGE_VALIDATION_MAX]],19,FALSE)</f>
        <v>100</v>
      </c>
      <c r="G94" s="57" t="str">
        <f t="shared" ca="1" si="8"/>
        <v/>
      </c>
      <c r="I94" s="282"/>
      <c r="J94" s="282"/>
      <c r="K94" s="282"/>
      <c r="L94" s="282"/>
      <c r="M94" s="282"/>
      <c r="N94" s="282"/>
      <c r="O94" s="282"/>
      <c r="P94" s="282"/>
      <c r="Q94" s="282"/>
      <c r="R94" s="282"/>
      <c r="S94" s="282"/>
      <c r="T94" s="282"/>
      <c r="U94" s="282"/>
      <c r="V94" s="282"/>
      <c r="W94" s="282"/>
      <c r="X94" s="282"/>
    </row>
    <row r="95" spans="1:24" ht="21.95" customHeight="1" x14ac:dyDescent="0.25">
      <c r="A95" s="64" t="s">
        <v>2557</v>
      </c>
      <c r="B95" s="101" t="str">
        <f>IF(U84&lt;&gt;"",U84,"")</f>
        <v/>
      </c>
      <c r="C95" s="57" t="str">
        <f ca="1">VLOOKUP(A95,DB_TBL_DATA_FIELDS[[FIELD_ID]:[PCT_CALC_FIELD_STATUS_CODE]],22,FALSE)</f>
        <v/>
      </c>
      <c r="D95" s="57" t="str">
        <f>IF(VLOOKUP(A95,DB_TBL_DATA_FIELDS[[FIELD_ID]:[ERROR_MESSAGE]],23,FALSE)&lt;&gt;0,VLOOKUP(A95,DB_TBL_DATA_FIELDS[[FIELD_ID]:[ERROR_MESSAGE]],23,FALSE),"")</f>
        <v/>
      </c>
      <c r="E95" s="57">
        <f>VLOOKUP(A95,DB_TBL_DATA_FIELDS[[#All],[FIELD_ID]:[RANGE_VALIDATION_MAX]],18,FALSE)</f>
        <v>0</v>
      </c>
      <c r="F95" s="57">
        <f>VLOOKUP(A95,DB_TBL_DATA_FIELDS[[#All],[FIELD_ID]:[RANGE_VALIDATION_MAX]],19,FALSE)</f>
        <v>999999999</v>
      </c>
      <c r="G95" s="57" t="str">
        <f t="shared" ca="1" si="8"/>
        <v/>
      </c>
      <c r="I95" s="282"/>
      <c r="J95" s="282"/>
      <c r="K95" s="282"/>
      <c r="L95" s="282"/>
      <c r="M95" s="282"/>
      <c r="N95" s="282"/>
      <c r="O95" s="282"/>
      <c r="P95" s="282"/>
      <c r="Q95" s="282"/>
      <c r="R95" s="282"/>
      <c r="S95" s="282"/>
      <c r="T95" s="282"/>
      <c r="U95" s="282"/>
      <c r="V95" s="282"/>
      <c r="W95" s="282"/>
      <c r="X95" s="282"/>
    </row>
    <row r="96" spans="1:24" ht="21.95" customHeight="1" x14ac:dyDescent="0.25">
      <c r="A96" s="64" t="s">
        <v>2558</v>
      </c>
      <c r="B96" s="101" t="str">
        <f>IF(I85&lt;&gt;"",I85,"")</f>
        <v/>
      </c>
      <c r="C96" s="57" t="str">
        <f ca="1">VLOOKUP(A96,DB_TBL_DATA_FIELDS[[FIELD_ID]:[PCT_CALC_FIELD_STATUS_CODE]],22,FALSE)</f>
        <v/>
      </c>
      <c r="D96" s="57" t="str">
        <f>IF(VLOOKUP(A96,DB_TBL_DATA_FIELDS[[FIELD_ID]:[ERROR_MESSAGE]],23,FALSE)&lt;&gt;0,VLOOKUP(A96,DB_TBL_DATA_FIELDS[[FIELD_ID]:[ERROR_MESSAGE]],23,FALSE),"")</f>
        <v/>
      </c>
      <c r="E96" s="57">
        <f>VLOOKUP(A96,DB_TBL_DATA_FIELDS[[#All],[FIELD_ID]:[RANGE_VALIDATION_MAX]],18,FALSE)</f>
        <v>0</v>
      </c>
      <c r="F96" s="57">
        <f>VLOOKUP(A96,DB_TBL_DATA_FIELDS[[#All],[FIELD_ID]:[RANGE_VALIDATION_MAX]],19,FALSE)</f>
        <v>100</v>
      </c>
      <c r="G96" s="57" t="str">
        <f t="shared" ca="1" si="8"/>
        <v/>
      </c>
      <c r="I96" s="282"/>
      <c r="J96" s="282"/>
      <c r="K96" s="282"/>
      <c r="L96" s="282"/>
      <c r="M96" s="282"/>
      <c r="N96" s="282"/>
      <c r="O96" s="282"/>
      <c r="P96" s="282"/>
      <c r="Q96" s="282"/>
      <c r="R96" s="282"/>
      <c r="S96" s="282"/>
      <c r="T96" s="282"/>
      <c r="U96" s="282"/>
      <c r="V96" s="282"/>
      <c r="W96" s="282"/>
      <c r="X96" s="282"/>
    </row>
    <row r="97" spans="1:24" ht="21.95" customHeight="1" x14ac:dyDescent="0.25">
      <c r="A97" s="64" t="s">
        <v>2559</v>
      </c>
      <c r="B97" s="101" t="str">
        <f>IF(U85&lt;&gt;"",U85,"")</f>
        <v/>
      </c>
      <c r="C97" s="57" t="str">
        <f ca="1">VLOOKUP(A97,DB_TBL_DATA_FIELDS[[FIELD_ID]:[PCT_CALC_FIELD_STATUS_CODE]],22,FALSE)</f>
        <v/>
      </c>
      <c r="D97" s="57" t="str">
        <f>IF(VLOOKUP(A97,DB_TBL_DATA_FIELDS[[FIELD_ID]:[ERROR_MESSAGE]],23,FALSE)&lt;&gt;0,VLOOKUP(A97,DB_TBL_DATA_FIELDS[[FIELD_ID]:[ERROR_MESSAGE]],23,FALSE),"")</f>
        <v/>
      </c>
      <c r="E97" s="57">
        <f>VLOOKUP(A97,DB_TBL_DATA_FIELDS[[#All],[FIELD_ID]:[RANGE_VALIDATION_MAX]],18,FALSE)</f>
        <v>0</v>
      </c>
      <c r="F97" s="57">
        <f>VLOOKUP(A97,DB_TBL_DATA_FIELDS[[#All],[FIELD_ID]:[RANGE_VALIDATION_MAX]],19,FALSE)</f>
        <v>999999999</v>
      </c>
      <c r="G97" s="57" t="str">
        <f t="shared" ca="1" si="8"/>
        <v/>
      </c>
      <c r="I97" s="282"/>
      <c r="J97" s="282"/>
      <c r="K97" s="282"/>
      <c r="L97" s="282"/>
      <c r="M97" s="282"/>
      <c r="N97" s="282"/>
      <c r="O97" s="282"/>
      <c r="P97" s="282"/>
      <c r="Q97" s="282"/>
      <c r="R97" s="282"/>
      <c r="S97" s="282"/>
      <c r="T97" s="282"/>
      <c r="U97" s="282"/>
      <c r="V97" s="282"/>
      <c r="W97" s="282"/>
      <c r="X97" s="282"/>
    </row>
    <row r="98" spans="1:24" ht="21.95" customHeight="1" x14ac:dyDescent="0.25">
      <c r="A98" s="64" t="s">
        <v>2560</v>
      </c>
      <c r="B98" s="101" t="str">
        <f>IF(I86&lt;&gt;"",I86,"")</f>
        <v/>
      </c>
      <c r="C98" s="57" t="str">
        <f ca="1">VLOOKUP(A98,DB_TBL_DATA_FIELDS[[FIELD_ID]:[PCT_CALC_FIELD_STATUS_CODE]],22,FALSE)</f>
        <v/>
      </c>
      <c r="D98" s="57" t="str">
        <f>IF(VLOOKUP(A98,DB_TBL_DATA_FIELDS[[FIELD_ID]:[ERROR_MESSAGE]],23,FALSE)&lt;&gt;0,VLOOKUP(A98,DB_TBL_DATA_FIELDS[[FIELD_ID]:[ERROR_MESSAGE]],23,FALSE),"")</f>
        <v/>
      </c>
      <c r="E98" s="57">
        <f>VLOOKUP(A98,DB_TBL_DATA_FIELDS[[#All],[FIELD_ID]:[RANGE_VALIDATION_MAX]],18,FALSE)</f>
        <v>0</v>
      </c>
      <c r="F98" s="57">
        <f>VLOOKUP(A98,DB_TBL_DATA_FIELDS[[#All],[FIELD_ID]:[RANGE_VALIDATION_MAX]],19,FALSE)</f>
        <v>100</v>
      </c>
      <c r="G98" s="57" t="str">
        <f t="shared" ca="1" si="8"/>
        <v/>
      </c>
      <c r="I98" s="282"/>
      <c r="J98" s="282"/>
      <c r="K98" s="282"/>
      <c r="L98" s="282"/>
      <c r="M98" s="282"/>
      <c r="N98" s="282"/>
      <c r="O98" s="282"/>
      <c r="P98" s="282"/>
      <c r="Q98" s="282"/>
      <c r="R98" s="282"/>
      <c r="S98" s="282"/>
      <c r="T98" s="282"/>
      <c r="U98" s="282"/>
      <c r="V98" s="282"/>
      <c r="W98" s="282"/>
      <c r="X98" s="282"/>
    </row>
    <row r="99" spans="1:24" ht="21.95" customHeight="1" x14ac:dyDescent="0.25">
      <c r="A99" s="64" t="s">
        <v>2561</v>
      </c>
      <c r="B99" s="101" t="str">
        <f>IF(U86&lt;&gt;"",U86,"")</f>
        <v/>
      </c>
      <c r="C99" s="57" t="str">
        <f ca="1">VLOOKUP(A99,DB_TBL_DATA_FIELDS[[FIELD_ID]:[PCT_CALC_FIELD_STATUS_CODE]],22,FALSE)</f>
        <v/>
      </c>
      <c r="D99" s="57" t="str">
        <f>IF(VLOOKUP(A99,DB_TBL_DATA_FIELDS[[FIELD_ID]:[ERROR_MESSAGE]],23,FALSE)&lt;&gt;0,VLOOKUP(A99,DB_TBL_DATA_FIELDS[[FIELD_ID]:[ERROR_MESSAGE]],23,FALSE),"")</f>
        <v/>
      </c>
      <c r="E99" s="57">
        <f>VLOOKUP(A99,DB_TBL_DATA_FIELDS[[#All],[FIELD_ID]:[RANGE_VALIDATION_MAX]],18,FALSE)</f>
        <v>0</v>
      </c>
      <c r="F99" s="57">
        <f>VLOOKUP(A99,DB_TBL_DATA_FIELDS[[#All],[FIELD_ID]:[RANGE_VALIDATION_MAX]],19,FALSE)</f>
        <v>999999999</v>
      </c>
      <c r="G99" s="57" t="str">
        <f t="shared" ca="1" si="8"/>
        <v/>
      </c>
      <c r="I99" s="282"/>
      <c r="J99" s="282"/>
      <c r="K99" s="282"/>
      <c r="L99" s="282"/>
      <c r="M99" s="282"/>
      <c r="N99" s="282"/>
      <c r="O99" s="282"/>
      <c r="P99" s="282"/>
      <c r="Q99" s="282"/>
      <c r="R99" s="282"/>
      <c r="S99" s="282"/>
      <c r="T99" s="282"/>
      <c r="U99" s="282"/>
      <c r="V99" s="282"/>
      <c r="W99" s="282"/>
      <c r="X99" s="282"/>
    </row>
    <row r="100" spans="1:24" ht="21.95" customHeight="1" x14ac:dyDescent="0.25">
      <c r="A100" s="64" t="s">
        <v>2566</v>
      </c>
      <c r="B100" s="101" t="str">
        <f>IF(W74="","",IF(UPPER(W74)="YES",TRUE,FALSE))</f>
        <v/>
      </c>
      <c r="C100" s="57" t="str">
        <f ca="1">VLOOKUP(A100,DB_TBL_DATA_FIELDS[[FIELD_ID]:[PCT_CALC_FIELD_STATUS_CODE]],22,FALSE)</f>
        <v/>
      </c>
      <c r="D100" s="57" t="str">
        <f>IF(VLOOKUP(A100,DB_TBL_DATA_FIELDS[[FIELD_ID]:[ERROR_MESSAGE]],23,FALSE)&lt;&gt;0,VLOOKUP(A100,DB_TBL_DATA_FIELDS[[FIELD_ID]:[ERROR_MESSAGE]],23,FALSE),"")</f>
        <v/>
      </c>
      <c r="E100" s="57">
        <f>VLOOKUP(A100,DB_TBL_DATA_FIELDS[[#All],[FIELD_ID]:[RANGE_VALIDATION_MAX]],18,FALSE)</f>
        <v>0</v>
      </c>
      <c r="F100" s="57">
        <f>VLOOKUP(A100,DB_TBL_DATA_FIELDS[[#All],[FIELD_ID]:[RANGE_VALIDATION_MAX]],19,FALSE)</f>
        <v>0</v>
      </c>
      <c r="G100" s="57" t="str">
        <f t="shared" ca="1" si="8"/>
        <v/>
      </c>
      <c r="I100" s="282"/>
      <c r="J100" s="282"/>
      <c r="K100" s="282"/>
      <c r="L100" s="282"/>
      <c r="M100" s="282"/>
      <c r="N100" s="282"/>
      <c r="O100" s="282"/>
      <c r="P100" s="282"/>
      <c r="Q100" s="282"/>
      <c r="R100" s="282"/>
      <c r="S100" s="282"/>
      <c r="T100" s="282"/>
      <c r="U100" s="282"/>
      <c r="V100" s="282"/>
      <c r="W100" s="282"/>
      <c r="X100" s="282"/>
    </row>
    <row r="101" spans="1:24" ht="21.95" customHeight="1" x14ac:dyDescent="0.25">
      <c r="A101" s="64" t="s">
        <v>2563</v>
      </c>
      <c r="B101" s="101" t="str">
        <f>IF(I76&lt;&gt;"",I76,"")</f>
        <v/>
      </c>
      <c r="C101" s="57" t="str">
        <f ca="1">VLOOKUP(A101,DB_TBL_DATA_FIELDS[[FIELD_ID]:[PCT_CALC_FIELD_STATUS_CODE]],22,FALSE)</f>
        <v/>
      </c>
      <c r="D101" s="57" t="str">
        <f>IF(VLOOKUP(A101,DB_TBL_DATA_FIELDS[[FIELD_ID]:[ERROR_MESSAGE]],23,FALSE)&lt;&gt;0,VLOOKUP(A101,DB_TBL_DATA_FIELDS[[FIELD_ID]:[ERROR_MESSAGE]],23,FALSE),"")</f>
        <v/>
      </c>
      <c r="E101" s="57">
        <f>VLOOKUP(A101,DB_TBL_DATA_FIELDS[[#All],[FIELD_ID]:[RANGE_VALIDATION_MAX]],18,FALSE)</f>
        <v>0</v>
      </c>
      <c r="F101" s="57">
        <f>VLOOKUP(A101,DB_TBL_DATA_FIELDS[[#All],[FIELD_ID]:[RANGE_VALIDATION_MAX]],19,FALSE)</f>
        <v>100</v>
      </c>
      <c r="G101" s="57" t="str">
        <f t="shared" ca="1" si="8"/>
        <v/>
      </c>
      <c r="I101" s="282"/>
      <c r="J101" s="282"/>
      <c r="K101" s="282"/>
      <c r="L101" s="282"/>
      <c r="M101" s="282"/>
      <c r="N101" s="282"/>
      <c r="O101" s="282"/>
      <c r="P101" s="282"/>
      <c r="Q101" s="282"/>
      <c r="R101" s="282"/>
      <c r="S101" s="282"/>
      <c r="T101" s="282"/>
      <c r="U101" s="282"/>
      <c r="V101" s="282"/>
      <c r="W101" s="282"/>
      <c r="X101" s="282"/>
    </row>
    <row r="102" spans="1:24" ht="21.95" customHeight="1" x14ac:dyDescent="0.25">
      <c r="A102" s="64" t="s">
        <v>2562</v>
      </c>
      <c r="B102" s="101" t="str">
        <f>IF(U76&lt;&gt;"",U76,"")</f>
        <v/>
      </c>
      <c r="C102" s="57" t="str">
        <f ca="1">VLOOKUP(A102,DB_TBL_DATA_FIELDS[[FIELD_ID]:[PCT_CALC_FIELD_STATUS_CODE]],22,FALSE)</f>
        <v/>
      </c>
      <c r="D102" s="57" t="str">
        <f>IF(VLOOKUP(A102,DB_TBL_DATA_FIELDS[[FIELD_ID]:[ERROR_MESSAGE]],23,FALSE)&lt;&gt;0,VLOOKUP(A102,DB_TBL_DATA_FIELDS[[FIELD_ID]:[ERROR_MESSAGE]],23,FALSE),"")</f>
        <v/>
      </c>
      <c r="E102" s="57">
        <f>VLOOKUP(A102,DB_TBL_DATA_FIELDS[[#All],[FIELD_ID]:[RANGE_VALIDATION_MAX]],18,FALSE)</f>
        <v>0</v>
      </c>
      <c r="F102" s="57">
        <f>VLOOKUP(A102,DB_TBL_DATA_FIELDS[[#All],[FIELD_ID]:[RANGE_VALIDATION_MAX]],19,FALSE)</f>
        <v>999999999</v>
      </c>
      <c r="G102" s="57" t="str">
        <f t="shared" ca="1" si="8"/>
        <v/>
      </c>
      <c r="I102" s="282"/>
      <c r="J102" s="282"/>
      <c r="K102" s="282"/>
      <c r="L102" s="282"/>
      <c r="M102" s="282"/>
      <c r="N102" s="282"/>
      <c r="O102" s="282"/>
      <c r="P102" s="282"/>
      <c r="Q102" s="282"/>
      <c r="R102" s="282"/>
      <c r="S102" s="282"/>
      <c r="T102" s="282"/>
      <c r="U102" s="282"/>
      <c r="V102" s="282"/>
      <c r="W102" s="282"/>
      <c r="X102" s="282"/>
    </row>
    <row r="103" spans="1:24" ht="21.95" customHeight="1" x14ac:dyDescent="0.25">
      <c r="A103" s="64" t="s">
        <v>167</v>
      </c>
      <c r="B103" s="68" t="str">
        <f>"C"&amp;MATCH(LEFT(A103,LEN(A103)-LEN("_RANGE")),A:A,0)+1&amp;":C"&amp;(ROW()-1)</f>
        <v>C91:C102</v>
      </c>
      <c r="C103" s="57"/>
      <c r="D103" s="57"/>
      <c r="E103" s="57"/>
      <c r="F103" s="57"/>
      <c r="G103" s="57"/>
      <c r="I103" s="282"/>
      <c r="J103" s="282"/>
      <c r="K103" s="282"/>
      <c r="L103" s="282"/>
      <c r="M103" s="282"/>
      <c r="N103" s="282"/>
      <c r="O103" s="282"/>
      <c r="P103" s="282"/>
      <c r="Q103" s="282"/>
      <c r="R103" s="282"/>
      <c r="S103" s="282"/>
      <c r="T103" s="282"/>
      <c r="U103" s="282"/>
      <c r="V103" s="282"/>
      <c r="W103" s="282"/>
      <c r="X103" s="282"/>
    </row>
    <row r="104" spans="1:24" ht="21.95" customHeight="1" x14ac:dyDescent="0.25">
      <c r="A104" s="64" t="s">
        <v>168</v>
      </c>
      <c r="B104" s="68">
        <f ca="1">COUNTIF(INDIRECT($B103),2)</f>
        <v>0</v>
      </c>
      <c r="C104" s="57"/>
      <c r="D104" s="57"/>
      <c r="E104" s="57"/>
      <c r="F104" s="57"/>
      <c r="G104" s="57"/>
      <c r="I104" s="282"/>
      <c r="J104" s="282"/>
      <c r="K104" s="282"/>
      <c r="L104" s="282"/>
      <c r="M104" s="282"/>
      <c r="N104" s="282"/>
      <c r="O104" s="282"/>
      <c r="P104" s="282"/>
      <c r="Q104" s="282"/>
      <c r="R104" s="282"/>
      <c r="S104" s="282"/>
      <c r="T104" s="282"/>
      <c r="U104" s="282"/>
      <c r="V104" s="282"/>
      <c r="W104" s="282"/>
      <c r="X104" s="282"/>
    </row>
    <row r="105" spans="1:24" ht="21.95" customHeight="1" x14ac:dyDescent="0.25">
      <c r="A105" s="64" t="s">
        <v>169</v>
      </c>
      <c r="B105" s="68">
        <f ca="1">COUNTIF(INDIRECT($B103),0)+COUNTIF(INDIRECT($B103),1)+COUNTIF(INDIRECT($B103),2)</f>
        <v>0</v>
      </c>
      <c r="C105" s="57"/>
      <c r="D105" s="57"/>
      <c r="E105" s="57"/>
      <c r="F105" s="57"/>
      <c r="G105" s="57"/>
      <c r="I105" s="282"/>
      <c r="J105" s="282"/>
      <c r="K105" s="282"/>
      <c r="L105" s="282"/>
      <c r="M105" s="282"/>
      <c r="N105" s="282"/>
      <c r="O105" s="282"/>
      <c r="P105" s="282"/>
      <c r="Q105" s="282"/>
      <c r="R105" s="282"/>
      <c r="S105" s="282"/>
      <c r="T105" s="282"/>
      <c r="U105" s="282"/>
      <c r="V105" s="282"/>
      <c r="W105" s="282"/>
      <c r="X105" s="282"/>
    </row>
    <row r="106" spans="1:24" ht="21.95" customHeight="1" x14ac:dyDescent="0.25">
      <c r="A106" s="64" t="s">
        <v>170</v>
      </c>
      <c r="B106" s="68">
        <f ca="1">COUNTIF(INDIRECT($B103),0)</f>
        <v>0</v>
      </c>
      <c r="C106" s="57"/>
      <c r="D106" s="57"/>
      <c r="E106" s="57"/>
      <c r="F106" s="57"/>
      <c r="G106" s="57"/>
      <c r="I106" s="282"/>
      <c r="J106" s="282"/>
      <c r="K106" s="282"/>
      <c r="L106" s="282"/>
      <c r="M106" s="282"/>
      <c r="N106" s="282"/>
      <c r="O106" s="282"/>
      <c r="P106" s="282"/>
      <c r="Q106" s="282"/>
      <c r="R106" s="282"/>
      <c r="S106" s="282"/>
      <c r="T106" s="282"/>
      <c r="U106" s="282"/>
      <c r="V106" s="282"/>
      <c r="W106" s="282"/>
      <c r="X106" s="282"/>
    </row>
    <row r="107" spans="1:24" ht="21.95" customHeight="1" x14ac:dyDescent="0.25">
      <c r="A107" s="64" t="s">
        <v>171</v>
      </c>
      <c r="B107" s="103">
        <f ca="1">IFERROR(B104/B105,1.01)</f>
        <v>1.01</v>
      </c>
      <c r="C107" s="57"/>
      <c r="D107" s="57"/>
      <c r="E107" s="57"/>
      <c r="F107" s="57"/>
      <c r="G107" s="57"/>
      <c r="I107" s="282"/>
      <c r="J107" s="282"/>
      <c r="K107" s="282"/>
      <c r="L107" s="282"/>
      <c r="M107" s="282"/>
      <c r="N107" s="282"/>
      <c r="O107" s="282"/>
      <c r="P107" s="282"/>
      <c r="Q107" s="282"/>
      <c r="R107" s="282"/>
      <c r="S107" s="282"/>
      <c r="T107" s="282"/>
      <c r="U107" s="282"/>
      <c r="V107" s="282"/>
      <c r="W107" s="282"/>
      <c r="X107" s="282"/>
    </row>
    <row r="108" spans="1:24" ht="21.95" customHeight="1" x14ac:dyDescent="0.25">
      <c r="A108" s="64" t="s">
        <v>172</v>
      </c>
      <c r="B108" s="68" t="str">
        <f ca="1">IF(B106&gt;0,"Data Error(s)",IF(B107=0,"Not Started",IF(B107&lt;1,ROUNDUP(B107*100,0)&amp;"% Done",IF(B107&gt;1,"Optional","Complete"))))</f>
        <v>Optional</v>
      </c>
      <c r="C108" s="57"/>
      <c r="D108" s="57"/>
      <c r="E108" s="57"/>
      <c r="F108" s="57"/>
      <c r="G108" s="57"/>
      <c r="I108" s="282"/>
      <c r="J108" s="282"/>
      <c r="K108" s="282"/>
      <c r="L108" s="282"/>
      <c r="M108" s="282"/>
      <c r="N108" s="282"/>
      <c r="O108" s="282"/>
      <c r="P108" s="282"/>
      <c r="Q108" s="282"/>
      <c r="R108" s="282"/>
      <c r="S108" s="282"/>
      <c r="T108" s="282"/>
      <c r="U108" s="282"/>
      <c r="V108" s="282"/>
      <c r="W108" s="282"/>
      <c r="X108" s="282"/>
    </row>
    <row r="109" spans="1:24" ht="21.95" customHeight="1" x14ac:dyDescent="0.25">
      <c r="A109" s="64" t="s">
        <v>173</v>
      </c>
      <c r="B109" s="68">
        <f ca="1">IF(B106&gt;0,0,IF(B107&lt;1,"",2))</f>
        <v>2</v>
      </c>
      <c r="C109" s="57"/>
      <c r="D109" s="57"/>
      <c r="E109" s="57"/>
      <c r="F109" s="57"/>
      <c r="G109" s="57"/>
      <c r="I109" s="282"/>
      <c r="J109" s="282"/>
      <c r="K109" s="282"/>
      <c r="L109" s="282"/>
      <c r="M109" s="282"/>
      <c r="N109" s="282"/>
      <c r="O109" s="282"/>
      <c r="P109" s="282"/>
      <c r="Q109" s="282"/>
      <c r="R109" s="282"/>
      <c r="S109" s="282"/>
      <c r="T109" s="282"/>
      <c r="U109" s="282"/>
      <c r="V109" s="282"/>
      <c r="W109" s="282"/>
      <c r="X109" s="282"/>
    </row>
    <row r="110" spans="1:24" ht="21.95" customHeight="1" x14ac:dyDescent="0.25">
      <c r="A110" s="64" t="s">
        <v>174</v>
      </c>
      <c r="B110" s="102" t="s">
        <v>2597</v>
      </c>
      <c r="C110" s="57"/>
      <c r="D110" s="57"/>
      <c r="E110" s="57"/>
      <c r="F110" s="57"/>
      <c r="G110" s="57"/>
      <c r="I110" s="282"/>
      <c r="J110" s="282"/>
      <c r="K110" s="282"/>
      <c r="L110" s="282"/>
      <c r="M110" s="282"/>
      <c r="N110" s="282"/>
      <c r="O110" s="282"/>
      <c r="P110" s="282"/>
      <c r="Q110" s="282"/>
      <c r="R110" s="282"/>
      <c r="S110" s="282"/>
      <c r="T110" s="282"/>
      <c r="U110" s="282"/>
      <c r="V110" s="282"/>
      <c r="W110" s="282"/>
      <c r="X110" s="282"/>
    </row>
    <row r="111" spans="1:24" ht="21.95" customHeight="1" x14ac:dyDescent="0.25">
      <c r="A111" s="80" t="s">
        <v>2161</v>
      </c>
      <c r="B111" s="68">
        <v>0</v>
      </c>
      <c r="C111" s="57"/>
      <c r="D111" s="57"/>
      <c r="E111" s="57"/>
      <c r="F111" s="57"/>
      <c r="G111" s="57"/>
      <c r="I111" s="282"/>
      <c r="J111" s="282"/>
      <c r="K111" s="282"/>
      <c r="L111" s="282"/>
      <c r="M111" s="282"/>
      <c r="N111" s="282"/>
      <c r="O111" s="282"/>
      <c r="P111" s="282"/>
      <c r="Q111" s="282"/>
      <c r="R111" s="282"/>
      <c r="S111" s="282"/>
      <c r="T111" s="282"/>
      <c r="U111" s="282"/>
      <c r="V111" s="282"/>
      <c r="W111" s="282"/>
      <c r="X111" s="282"/>
    </row>
    <row r="112" spans="1:24" ht="21.95" customHeight="1" x14ac:dyDescent="0.25">
      <c r="A112" s="80" t="s">
        <v>2162</v>
      </c>
      <c r="B112" s="68" t="b">
        <f>(B111&gt;0)</f>
        <v>0</v>
      </c>
      <c r="C112" s="57"/>
      <c r="D112" s="57"/>
      <c r="E112" s="57"/>
      <c r="F112" s="57"/>
      <c r="G112" s="57"/>
      <c r="I112" s="282"/>
      <c r="J112" s="282"/>
      <c r="K112" s="282"/>
      <c r="L112" s="282"/>
      <c r="M112" s="282"/>
      <c r="N112" s="282"/>
      <c r="O112" s="282"/>
      <c r="P112" s="282"/>
      <c r="Q112" s="282"/>
      <c r="R112" s="282"/>
      <c r="S112" s="282"/>
      <c r="T112" s="282"/>
      <c r="U112" s="282"/>
      <c r="V112" s="282"/>
      <c r="W112" s="282"/>
      <c r="X112" s="282"/>
    </row>
    <row r="113" spans="1:24" ht="21.95" customHeight="1" x14ac:dyDescent="0.25">
      <c r="A113" s="97" t="s">
        <v>2911</v>
      </c>
      <c r="B113" s="99" t="s">
        <v>2912</v>
      </c>
      <c r="C113" s="98"/>
      <c r="D113" s="98"/>
      <c r="E113" s="98"/>
      <c r="F113" s="98"/>
      <c r="G113" s="98"/>
      <c r="I113" s="282"/>
      <c r="J113" s="282"/>
      <c r="K113" s="282"/>
      <c r="L113" s="282"/>
      <c r="M113" s="282"/>
      <c r="N113" s="282"/>
      <c r="O113" s="282"/>
      <c r="P113" s="282"/>
      <c r="Q113" s="282"/>
      <c r="R113" s="282"/>
      <c r="S113" s="282"/>
      <c r="T113" s="282"/>
      <c r="U113" s="282"/>
      <c r="V113" s="282"/>
      <c r="W113" s="282"/>
      <c r="X113" s="282"/>
    </row>
    <row r="114" spans="1:24" ht="21.95" customHeight="1" x14ac:dyDescent="0.25">
      <c r="A114" s="64" t="s">
        <v>2905</v>
      </c>
      <c r="B114" s="101" t="str">
        <f>IF(I116&lt;&gt;"",I116,"")</f>
        <v/>
      </c>
      <c r="C114" s="57">
        <f ca="1">VLOOKUP(A114,DB_TBL_DATA_FIELDS[[FIELD_ID]:[PCT_CALC_FIELD_STATUS_CODE]],22,FALSE)</f>
        <v>1</v>
      </c>
      <c r="D114" s="57" t="str">
        <f ca="1">IF(VLOOKUP(A114,DB_TBL_DATA_FIELDS[[FIELD_ID]:[ERROR_MESSAGE]],23,FALSE)&lt;&gt;0,VLOOKUP(A114,DB_TBL_DATA_FIELDS[[FIELD_ID]:[ERROR_MESSAGE]],23,FALSE),"")</f>
        <v/>
      </c>
      <c r="E114" s="57">
        <f>VLOOKUP(A114,DB_TBL_DATA_FIELDS[[#All],[FIELD_ID]:[RANGE_VALIDATION_MAX]],18,FALSE)</f>
        <v>0</v>
      </c>
      <c r="F114" s="57">
        <f>VLOOKUP(A114,DB_TBL_DATA_FIELDS[[#All],[FIELD_ID]:[RANGE_VALIDATION_MAX]],19,FALSE)</f>
        <v>100</v>
      </c>
      <c r="G114" s="57">
        <f t="shared" ref="G114:G118" ca="1" si="9">IF(C114&lt;0,"",C114)</f>
        <v>1</v>
      </c>
      <c r="J114"/>
      <c r="L114"/>
      <c r="N114"/>
      <c r="P114"/>
      <c r="R114"/>
      <c r="T114"/>
      <c r="V114"/>
      <c r="X114"/>
    </row>
    <row r="115" spans="1:24" ht="21.95" customHeight="1" x14ac:dyDescent="0.25">
      <c r="A115" s="64" t="s">
        <v>2907</v>
      </c>
      <c r="B115" s="101" t="str">
        <f>IF(O116&lt;&gt;"",O116,"")</f>
        <v/>
      </c>
      <c r="C115" s="57">
        <f ca="1">VLOOKUP(A115,DB_TBL_DATA_FIELDS[[FIELD_ID]:[PCT_CALC_FIELD_STATUS_CODE]],22,FALSE)</f>
        <v>1</v>
      </c>
      <c r="D115" s="57" t="str">
        <f ca="1">IF(VLOOKUP(A115,DB_TBL_DATA_FIELDS[[FIELD_ID]:[ERROR_MESSAGE]],23,FALSE)&lt;&gt;0,VLOOKUP(A115,DB_TBL_DATA_FIELDS[[FIELD_ID]:[ERROR_MESSAGE]],23,FALSE),"")</f>
        <v/>
      </c>
      <c r="E115" s="57">
        <f>VLOOKUP(A115,DB_TBL_DATA_FIELDS[[#All],[FIELD_ID]:[RANGE_VALIDATION_MAX]],18,FALSE)</f>
        <v>0</v>
      </c>
      <c r="F115" s="57">
        <f>VLOOKUP(A115,DB_TBL_DATA_FIELDS[[#All],[FIELD_ID]:[RANGE_VALIDATION_MAX]],19,FALSE)</f>
        <v>100</v>
      </c>
      <c r="G115" s="57">
        <f t="shared" ca="1" si="9"/>
        <v>1</v>
      </c>
      <c r="I115" s="39" t="s">
        <v>2923</v>
      </c>
      <c r="K115" s="39"/>
      <c r="M115" s="39"/>
      <c r="N115" s="39"/>
      <c r="O115" s="39" t="s">
        <v>2924</v>
      </c>
      <c r="Q115" s="39"/>
      <c r="S115" s="39"/>
      <c r="T115" s="39"/>
      <c r="U115" s="39" t="s">
        <v>31</v>
      </c>
      <c r="V115" s="39"/>
      <c r="W115" s="39"/>
      <c r="X115" s="39"/>
    </row>
    <row r="116" spans="1:24" ht="21.95" customHeight="1" x14ac:dyDescent="0.25">
      <c r="A116" s="64" t="s">
        <v>2908</v>
      </c>
      <c r="B116" s="101" t="str">
        <f>IF(U116&lt;&gt;"",U116,"")</f>
        <v/>
      </c>
      <c r="C116" s="57">
        <f ca="1">VLOOKUP(A116,DB_TBL_DATA_FIELDS[[FIELD_ID]:[PCT_CALC_FIELD_STATUS_CODE]],22,FALSE)</f>
        <v>1</v>
      </c>
      <c r="D116" s="57" t="str">
        <f ca="1">IF(VLOOKUP(A116,DB_TBL_DATA_FIELDS[[FIELD_ID]:[ERROR_MESSAGE]],23,FALSE)&lt;&gt;0,VLOOKUP(A116,DB_TBL_DATA_FIELDS[[FIELD_ID]:[ERROR_MESSAGE]],23,FALSE),"")</f>
        <v/>
      </c>
      <c r="E116" s="57">
        <f>VLOOKUP(A116,DB_TBL_DATA_FIELDS[[#All],[FIELD_ID]:[RANGE_VALIDATION_MAX]],18,FALSE)</f>
        <v>0</v>
      </c>
      <c r="F116" s="57">
        <f>VLOOKUP(A116,DB_TBL_DATA_FIELDS[[#All],[FIELD_ID]:[RANGE_VALIDATION_MAX]],19,FALSE)</f>
        <v>0</v>
      </c>
      <c r="G116" s="57">
        <f t="shared" ca="1" si="9"/>
        <v>1</v>
      </c>
      <c r="I116" s="283"/>
      <c r="J116" s="284"/>
      <c r="K116" s="284"/>
      <c r="L116" s="284"/>
      <c r="M116" s="285"/>
      <c r="N116" s="55">
        <f ca="1">G114</f>
        <v>1</v>
      </c>
      <c r="O116" s="283"/>
      <c r="P116" s="284"/>
      <c r="Q116" s="284"/>
      <c r="R116" s="284"/>
      <c r="S116" s="285"/>
      <c r="T116" s="55">
        <f ca="1">G115</f>
        <v>1</v>
      </c>
      <c r="U116" s="294"/>
      <c r="V116" s="295"/>
      <c r="W116" s="296"/>
      <c r="X116" s="55">
        <f ca="1">G116</f>
        <v>1</v>
      </c>
    </row>
    <row r="117" spans="1:24" ht="21.95" customHeight="1" x14ac:dyDescent="0.25">
      <c r="A117" s="64" t="s">
        <v>2256</v>
      </c>
      <c r="B117" s="101" t="str">
        <f>IF(I118&lt;&gt;"",I118,"")</f>
        <v/>
      </c>
      <c r="C117" s="57">
        <f ca="1">VLOOKUP(A117,DB_TBL_DATA_FIELDS[[FIELD_ID]:[PCT_CALC_FIELD_STATUS_CODE]],22,FALSE)</f>
        <v>1</v>
      </c>
      <c r="D117" s="57" t="str">
        <f ca="1">IF(VLOOKUP(A117,DB_TBL_DATA_FIELDS[[FIELD_ID]:[ERROR_MESSAGE]],23,FALSE)&lt;&gt;0,VLOOKUP(A117,DB_TBL_DATA_FIELDS[[FIELD_ID]:[ERROR_MESSAGE]],23,FALSE),"")</f>
        <v/>
      </c>
      <c r="E117" s="57">
        <f>VLOOKUP(A117,DB_TBL_DATA_FIELDS[[#All],[FIELD_ID]:[RANGE_VALIDATION_MAX]],18,FALSE)</f>
        <v>0</v>
      </c>
      <c r="F117" s="57">
        <f>VLOOKUP(A117,DB_TBL_DATA_FIELDS[[#All],[FIELD_ID]:[RANGE_VALIDATION_MAX]],19,FALSE)</f>
        <v>60</v>
      </c>
      <c r="G117" s="57">
        <f t="shared" ca="1" si="9"/>
        <v>1</v>
      </c>
      <c r="I117" s="39" t="s">
        <v>135</v>
      </c>
      <c r="K117" s="39"/>
      <c r="M117" s="39"/>
      <c r="N117" s="39"/>
      <c r="O117" s="39"/>
      <c r="P117" s="39"/>
      <c r="S117" s="39" t="s">
        <v>2173</v>
      </c>
      <c r="W117" s="39"/>
    </row>
    <row r="118" spans="1:24" ht="21.95" customHeight="1" x14ac:dyDescent="0.25">
      <c r="A118" s="64" t="s">
        <v>2257</v>
      </c>
      <c r="B118" s="101" t="str">
        <f>IF(S118&lt;&gt;"",S118,"")</f>
        <v/>
      </c>
      <c r="C118" s="57">
        <f ca="1">VLOOKUP(A118,DB_TBL_DATA_FIELDS[[FIELD_ID]:[PCT_CALC_FIELD_STATUS_CODE]],22,FALSE)</f>
        <v>1</v>
      </c>
      <c r="D118" s="57" t="str">
        <f>IF(VLOOKUP(A118,DB_TBL_DATA_FIELDS[[FIELD_ID]:[ERROR_MESSAGE]],23,FALSE)&lt;&gt;0,VLOOKUP(A118,DB_TBL_DATA_FIELDS[[FIELD_ID]:[ERROR_MESSAGE]],23,FALSE),"")</f>
        <v/>
      </c>
      <c r="E118" s="57">
        <f>VLOOKUP(A118,DB_TBL_DATA_FIELDS[[#All],[FIELD_ID]:[RANGE_VALIDATION_MAX]],18,FALSE)</f>
        <v>0</v>
      </c>
      <c r="F118" s="57">
        <f>VLOOKUP(A118,DB_TBL_DATA_FIELDS[[#All],[FIELD_ID]:[RANGE_VALIDATION_MAX]],19,FALSE)</f>
        <v>50</v>
      </c>
      <c r="G118" s="57">
        <f t="shared" ca="1" si="9"/>
        <v>1</v>
      </c>
      <c r="I118" s="283"/>
      <c r="J118" s="284"/>
      <c r="K118" s="284"/>
      <c r="L118" s="284"/>
      <c r="M118" s="284"/>
      <c r="N118" s="284"/>
      <c r="O118" s="284"/>
      <c r="P118" s="284"/>
      <c r="Q118" s="285"/>
      <c r="R118" s="55">
        <f ca="1">G117</f>
        <v>1</v>
      </c>
      <c r="S118" s="326"/>
      <c r="T118" s="327"/>
      <c r="U118" s="327"/>
      <c r="V118" s="327"/>
      <c r="W118" s="328"/>
      <c r="X118" s="55">
        <f ca="1">G118</f>
        <v>1</v>
      </c>
    </row>
    <row r="119" spans="1:24" ht="21.95" customHeight="1" x14ac:dyDescent="0.25">
      <c r="A119" s="64" t="s">
        <v>2913</v>
      </c>
      <c r="B119" s="68" t="str">
        <f>"C"&amp;MATCH(LEFT(A119,LEN(A119)-LEN("_RANGE")),A:A,0)+1&amp;":C"&amp;(ROW()-1)</f>
        <v>C114:C118</v>
      </c>
      <c r="C119" s="57"/>
      <c r="D119" s="57"/>
      <c r="E119" s="57"/>
      <c r="F119" s="57"/>
      <c r="G119" s="57"/>
      <c r="I119" s="325" t="str">
        <f ca="1">D117</f>
        <v/>
      </c>
      <c r="J119" s="325"/>
      <c r="K119" s="325"/>
      <c r="L119" s="325"/>
      <c r="M119" s="325"/>
      <c r="N119" s="325"/>
      <c r="O119" s="325"/>
      <c r="P119" s="325"/>
      <c r="Q119" s="325"/>
      <c r="R119"/>
      <c r="T119"/>
      <c r="V119"/>
      <c r="X119"/>
    </row>
    <row r="120" spans="1:24" ht="21.95" customHeight="1" x14ac:dyDescent="0.25">
      <c r="A120" s="64" t="s">
        <v>2914</v>
      </c>
      <c r="B120" s="68">
        <f ca="1">COUNTIF(INDIRECT($B119),2)</f>
        <v>0</v>
      </c>
      <c r="C120" s="57"/>
      <c r="D120" s="57"/>
      <c r="E120" s="57"/>
      <c r="F120" s="57"/>
      <c r="G120" s="57"/>
      <c r="J120"/>
      <c r="L120"/>
      <c r="N120"/>
      <c r="P120"/>
    </row>
    <row r="121" spans="1:24" ht="21.95" customHeight="1" x14ac:dyDescent="0.25">
      <c r="A121" s="64" t="s">
        <v>2915</v>
      </c>
      <c r="B121" s="68">
        <f ca="1">COUNTIF(INDIRECT($B119),0)+COUNTIF(INDIRECT($B119),1)+COUNTIF(INDIRECT($B119),2)</f>
        <v>5</v>
      </c>
      <c r="C121" s="57"/>
      <c r="D121" s="57"/>
      <c r="E121" s="57"/>
      <c r="F121" s="57"/>
      <c r="G121" s="57"/>
    </row>
    <row r="122" spans="1:24" ht="21.95" hidden="1" customHeight="1" x14ac:dyDescent="0.25">
      <c r="A122" s="64" t="s">
        <v>2916</v>
      </c>
      <c r="B122" s="68">
        <f ca="1">COUNTIF(INDIRECT($B119),0)</f>
        <v>0</v>
      </c>
      <c r="C122" s="57"/>
      <c r="D122" s="57"/>
      <c r="E122" s="57"/>
      <c r="F122" s="57"/>
      <c r="G122" s="57"/>
    </row>
    <row r="123" spans="1:24" ht="21.95" hidden="1" customHeight="1" x14ac:dyDescent="0.25">
      <c r="A123" s="64" t="s">
        <v>2917</v>
      </c>
      <c r="B123" s="103">
        <f ca="1">IFERROR(B120/B121,1.01)</f>
        <v>0</v>
      </c>
      <c r="C123" s="57"/>
      <c r="D123" s="57"/>
      <c r="E123" s="57"/>
      <c r="F123" s="57"/>
      <c r="G123" s="57"/>
    </row>
    <row r="124" spans="1:24" ht="21.95" hidden="1" customHeight="1" x14ac:dyDescent="0.25">
      <c r="A124" s="64" t="s">
        <v>2918</v>
      </c>
      <c r="B124" s="68" t="str">
        <f ca="1">IF(B122&gt;0,"Data Error(s)",IF(B123=0,"Not Started",IF(B123&lt;1,ROUNDUP(B123*100,0)&amp;"% Done",IF(B123&gt;1,"Optional","Complete"))))</f>
        <v>Not Started</v>
      </c>
      <c r="C124" s="57"/>
      <c r="D124" s="57"/>
      <c r="E124" s="57"/>
      <c r="F124" s="57"/>
      <c r="G124" s="57"/>
    </row>
    <row r="125" spans="1:24" ht="21.95" hidden="1" customHeight="1" x14ac:dyDescent="0.25">
      <c r="A125" s="64" t="s">
        <v>2919</v>
      </c>
      <c r="B125" s="68" t="str">
        <f ca="1">IF(B122&gt;0,0,IF(B123&lt;1,"",2))</f>
        <v/>
      </c>
      <c r="C125" s="57"/>
      <c r="D125" s="57"/>
      <c r="E125" s="57"/>
      <c r="F125" s="57"/>
      <c r="G125" s="57"/>
    </row>
    <row r="126" spans="1:24" ht="21.95" hidden="1" customHeight="1" x14ac:dyDescent="0.25">
      <c r="A126" s="64" t="s">
        <v>2920</v>
      </c>
      <c r="B126" s="102" t="s">
        <v>2912</v>
      </c>
      <c r="C126" s="57"/>
      <c r="D126" s="57"/>
      <c r="E126" s="57"/>
      <c r="F126" s="57"/>
      <c r="G126" s="57"/>
    </row>
    <row r="127" spans="1:24" ht="21.95" hidden="1" customHeight="1" x14ac:dyDescent="0.25">
      <c r="A127" s="80" t="s">
        <v>2921</v>
      </c>
      <c r="B127" s="68">
        <v>0</v>
      </c>
      <c r="C127" s="57"/>
      <c r="D127" s="57"/>
      <c r="E127" s="57"/>
      <c r="F127" s="57"/>
      <c r="G127" s="57"/>
    </row>
    <row r="128" spans="1:24" ht="21.95" hidden="1" customHeight="1" x14ac:dyDescent="0.25">
      <c r="A128" s="80" t="s">
        <v>2922</v>
      </c>
      <c r="B128" s="68" t="b">
        <f>(B127&gt;0)</f>
        <v>0</v>
      </c>
      <c r="C128" s="57"/>
      <c r="D128" s="57"/>
      <c r="E128" s="57"/>
      <c r="F128" s="57"/>
      <c r="G128" s="57"/>
    </row>
    <row r="129" ht="21.95" hidden="1" customHeight="1" x14ac:dyDescent="0.25"/>
    <row r="130" ht="21.95" hidden="1" customHeight="1" x14ac:dyDescent="0.25"/>
    <row r="131" ht="21.95" hidden="1" customHeight="1" x14ac:dyDescent="0.25"/>
    <row r="132" ht="21.95" hidden="1" customHeight="1" x14ac:dyDescent="0.25"/>
    <row r="133" ht="21.95" hidden="1" customHeight="1" x14ac:dyDescent="0.25"/>
    <row r="134" ht="21.95" hidden="1" customHeight="1" x14ac:dyDescent="0.25"/>
    <row r="135" ht="21.95" hidden="1" customHeight="1" x14ac:dyDescent="0.25"/>
    <row r="136" ht="21.95" hidden="1" customHeight="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sheetData>
  <sheetProtection algorithmName="SHA-512" hashValue="h8KWF+RnvgvO0DdL8FIDVhiLvh40f5d0gLH9uHLASFCLjMtM7cSC6n28t2hViKAF6VMDEr+ZYGuvLE/9OXm1Bg==" saltValue="xrlZwH7aAybf2MBcriPq1Q==" spinCount="100000" sheet="1" objects="1" scenarios="1" selectLockedCells="1"/>
  <dataConsolidate/>
  <mergeCells count="46">
    <mergeCell ref="U48:W48"/>
    <mergeCell ref="I54:W59"/>
    <mergeCell ref="I18:M18"/>
    <mergeCell ref="Q18:U18"/>
    <mergeCell ref="I19:M19"/>
    <mergeCell ref="I24:W24"/>
    <mergeCell ref="I48:K48"/>
    <mergeCell ref="M48:O48"/>
    <mergeCell ref="I39:S40"/>
    <mergeCell ref="I29:K29"/>
    <mergeCell ref="M29:Q29"/>
    <mergeCell ref="S29:W29"/>
    <mergeCell ref="U34:W34"/>
    <mergeCell ref="U35:W35"/>
    <mergeCell ref="U36:W36"/>
    <mergeCell ref="Q37:W37"/>
    <mergeCell ref="I6:Y6"/>
    <mergeCell ref="I9:X9"/>
    <mergeCell ref="U13:X13"/>
    <mergeCell ref="I17:M17"/>
    <mergeCell ref="Q17:U17"/>
    <mergeCell ref="I76:S76"/>
    <mergeCell ref="U76:W76"/>
    <mergeCell ref="U82:X82"/>
    <mergeCell ref="I82:T82"/>
    <mergeCell ref="U61:W61"/>
    <mergeCell ref="U62:W62"/>
    <mergeCell ref="I69:K69"/>
    <mergeCell ref="U69:W69"/>
    <mergeCell ref="O69:Q69"/>
    <mergeCell ref="I90:X113"/>
    <mergeCell ref="I119:Q119"/>
    <mergeCell ref="Q19:U19"/>
    <mergeCell ref="I116:M116"/>
    <mergeCell ref="O116:S116"/>
    <mergeCell ref="U116:W116"/>
    <mergeCell ref="I118:Q118"/>
    <mergeCell ref="S118:W118"/>
    <mergeCell ref="I86:S86"/>
    <mergeCell ref="U86:W86"/>
    <mergeCell ref="I83:S83"/>
    <mergeCell ref="U83:W83"/>
    <mergeCell ref="I84:S84"/>
    <mergeCell ref="U84:W84"/>
    <mergeCell ref="I85:S85"/>
    <mergeCell ref="U85:W85"/>
  </mergeCells>
  <conditionalFormatting sqref="S3">
    <cfRule type="dataBar" priority="120">
      <dataBar>
        <cfvo type="num" val="0"/>
        <cfvo type="num" val="1"/>
        <color theme="6" tint="-0.249977111117893"/>
      </dataBar>
      <extLst>
        <ext xmlns:x14="http://schemas.microsoft.com/office/spreadsheetml/2009/9/main" uri="{B025F937-C7B1-47D3-B67F-A62EFF666E3E}">
          <x14:id>{7B29BB36-1987-467D-B0AD-6A4C2CA540EB}</x14:id>
        </ext>
      </extLst>
    </cfRule>
  </conditionalFormatting>
  <conditionalFormatting sqref="R13 N13 J13">
    <cfRule type="iconSet" priority="118">
      <iconSet iconSet="3Symbols" showValue="0">
        <cfvo type="percent" val="0"/>
        <cfvo type="num" val="0" gte="0"/>
        <cfvo type="num" val="2"/>
      </iconSet>
    </cfRule>
  </conditionalFormatting>
  <conditionalFormatting sqref="H6">
    <cfRule type="iconSet" priority="113">
      <iconSet iconSet="3Flags" showValue="0">
        <cfvo type="percent" val="0"/>
        <cfvo type="num" val="1"/>
        <cfvo type="num" val="2" gte="0"/>
      </iconSet>
    </cfRule>
    <cfRule type="expression" dxfId="235" priority="114">
      <formula>($B$10=TRUE)</formula>
    </cfRule>
  </conditionalFormatting>
  <conditionalFormatting sqref="I6:Y6">
    <cfRule type="expression" dxfId="234" priority="115">
      <formula>($B$10=TRUE)</formula>
    </cfRule>
  </conditionalFormatting>
  <conditionalFormatting sqref="O17:P19">
    <cfRule type="expression" dxfId="233" priority="116">
      <formula>($P17=0)</formula>
    </cfRule>
    <cfRule type="expression" dxfId="232" priority="117">
      <formula>($P17=2)</formula>
    </cfRule>
  </conditionalFormatting>
  <conditionalFormatting sqref="P17:P19">
    <cfRule type="iconSet" priority="121">
      <iconSet iconSet="3Symbols2" showValue="0">
        <cfvo type="percent" val="0"/>
        <cfvo type="num" val="0" gte="0"/>
        <cfvo type="num" val="1" gte="0"/>
      </iconSet>
    </cfRule>
  </conditionalFormatting>
  <conditionalFormatting sqref="N17:N19 V17:V18">
    <cfRule type="iconSet" priority="122">
      <iconSet iconSet="3Flags">
        <cfvo type="percent" val="0"/>
        <cfvo type="num" val="0" gte="0"/>
        <cfvo type="num" val="1000" gte="0"/>
      </iconSet>
    </cfRule>
  </conditionalFormatting>
  <conditionalFormatting sqref="W17:X17">
    <cfRule type="expression" dxfId="231" priority="110">
      <formula>($X17=0)</formula>
    </cfRule>
    <cfRule type="expression" dxfId="230" priority="111">
      <formula>($X17=2)</formula>
    </cfRule>
  </conditionalFormatting>
  <conditionalFormatting sqref="X17">
    <cfRule type="iconSet" priority="112">
      <iconSet iconSet="3Symbols2" showValue="0">
        <cfvo type="percent" val="0"/>
        <cfvo type="num" val="0" gte="0"/>
        <cfvo type="num" val="1" gte="0"/>
      </iconSet>
    </cfRule>
  </conditionalFormatting>
  <conditionalFormatting sqref="W18:X18">
    <cfRule type="expression" dxfId="229" priority="107">
      <formula>($X18=0)</formula>
    </cfRule>
    <cfRule type="expression" dxfId="228" priority="108">
      <formula>($X18=2)</formula>
    </cfRule>
  </conditionalFormatting>
  <conditionalFormatting sqref="X18">
    <cfRule type="iconSet" priority="109">
      <iconSet iconSet="3Symbols2" showValue="0">
        <cfvo type="percent" val="0"/>
        <cfvo type="num" val="0" gte="0"/>
        <cfvo type="num" val="1" gte="0"/>
      </iconSet>
    </cfRule>
  </conditionalFormatting>
  <conditionalFormatting sqref="N25">
    <cfRule type="iconSet" priority="123">
      <iconSet iconSet="3Symbols" showValue="0">
        <cfvo type="percent" val="0"/>
        <cfvo type="num" val="0" gte="0"/>
        <cfvo type="num" val="2"/>
      </iconSet>
    </cfRule>
  </conditionalFormatting>
  <conditionalFormatting sqref="T3">
    <cfRule type="iconSet" priority="100">
      <iconSet iconSet="3Symbols2" showValue="0">
        <cfvo type="percent" val="0"/>
        <cfvo type="num" val="0" gte="0"/>
        <cfvo type="num" val="1" gte="0"/>
      </iconSet>
    </cfRule>
  </conditionalFormatting>
  <conditionalFormatting sqref="X34">
    <cfRule type="iconSet" priority="84">
      <iconSet iconSet="3Symbols" showValue="0">
        <cfvo type="percent" val="0"/>
        <cfvo type="num" val="0" gte="0"/>
        <cfvo type="num" val="2"/>
      </iconSet>
    </cfRule>
  </conditionalFormatting>
  <conditionalFormatting sqref="X35">
    <cfRule type="iconSet" priority="83">
      <iconSet iconSet="3Symbols" showValue="0">
        <cfvo type="percent" val="0"/>
        <cfvo type="num" val="0" gte="0"/>
        <cfvo type="num" val="2"/>
      </iconSet>
    </cfRule>
  </conditionalFormatting>
  <conditionalFormatting sqref="X36">
    <cfRule type="iconSet" priority="82">
      <iconSet iconSet="3Symbols" showValue="0">
        <cfvo type="percent" val="0"/>
        <cfvo type="num" val="0" gte="0"/>
        <cfvo type="num" val="2"/>
      </iconSet>
    </cfRule>
  </conditionalFormatting>
  <conditionalFormatting sqref="X39">
    <cfRule type="iconSet" priority="80">
      <iconSet iconSet="3Symbols" showValue="0">
        <cfvo type="percent" val="0"/>
        <cfvo type="num" val="0" gte="0"/>
        <cfvo type="num" val="2"/>
      </iconSet>
    </cfRule>
  </conditionalFormatting>
  <conditionalFormatting sqref="P45 T45 V45">
    <cfRule type="iconSet" priority="79">
      <iconSet iconSet="3Symbols" showValue="0">
        <cfvo type="percent" val="0"/>
        <cfvo type="num" val="0" gte="0"/>
        <cfvo type="num" val="2"/>
      </iconSet>
    </cfRule>
  </conditionalFormatting>
  <conditionalFormatting sqref="P47">
    <cfRule type="iconSet" priority="78">
      <iconSet iconSet="3Symbols" showValue="0">
        <cfvo type="percent" val="0"/>
        <cfvo type="num" val="0" gte="0"/>
        <cfvo type="num" val="2"/>
      </iconSet>
    </cfRule>
  </conditionalFormatting>
  <conditionalFormatting sqref="T47">
    <cfRule type="iconSet" priority="77">
      <iconSet iconSet="3Symbols" showValue="0">
        <cfvo type="percent" val="0"/>
        <cfvo type="num" val="0" gte="0"/>
        <cfvo type="num" val="2"/>
      </iconSet>
    </cfRule>
  </conditionalFormatting>
  <conditionalFormatting sqref="X47">
    <cfRule type="iconSet" priority="76">
      <iconSet iconSet="3Symbols" showValue="0">
        <cfvo type="percent" val="0"/>
        <cfvo type="num" val="0" gte="0"/>
        <cfvo type="num" val="2"/>
      </iconSet>
    </cfRule>
  </conditionalFormatting>
  <conditionalFormatting sqref="L29">
    <cfRule type="iconSet" priority="64">
      <iconSet iconSet="3Symbols" showValue="0">
        <cfvo type="percent" val="0"/>
        <cfvo type="num" val="0" gte="0"/>
        <cfvo type="num" val="2"/>
      </iconSet>
    </cfRule>
  </conditionalFormatting>
  <conditionalFormatting sqref="L29">
    <cfRule type="iconSet" priority="63">
      <iconSet iconSet="3Symbols" showValue="0">
        <cfvo type="percent" val="0"/>
        <cfvo type="num" val="0" gte="0"/>
        <cfvo type="num" val="2"/>
      </iconSet>
    </cfRule>
  </conditionalFormatting>
  <conditionalFormatting sqref="X29 R29">
    <cfRule type="iconSet" priority="62">
      <iconSet iconSet="3Symbols" showValue="0">
        <cfvo type="percent" val="0"/>
        <cfvo type="num" val="0" gte="0"/>
        <cfvo type="num" val="2"/>
      </iconSet>
    </cfRule>
  </conditionalFormatting>
  <conditionalFormatting sqref="R29">
    <cfRule type="iconSet" priority="61">
      <iconSet iconSet="3Symbols" showValue="0">
        <cfvo type="percent" val="0"/>
        <cfvo type="num" val="0" gte="0"/>
        <cfvo type="num" val="2"/>
      </iconSet>
    </cfRule>
  </conditionalFormatting>
  <conditionalFormatting sqref="X29">
    <cfRule type="iconSet" priority="60">
      <iconSet iconSet="3Symbols" showValue="0">
        <cfvo type="percent" val="0"/>
        <cfvo type="num" val="0" gte="0"/>
        <cfvo type="num" val="2"/>
      </iconSet>
    </cfRule>
  </conditionalFormatting>
  <conditionalFormatting sqref="L48">
    <cfRule type="iconSet" priority="58">
      <iconSet iconSet="3Symbols" showValue="0">
        <cfvo type="percent" val="0"/>
        <cfvo type="num" val="0" gte="0"/>
        <cfvo type="num" val="2"/>
      </iconSet>
    </cfRule>
  </conditionalFormatting>
  <conditionalFormatting sqref="L48">
    <cfRule type="iconSet" priority="59">
      <iconSet iconSet="3Symbols" showValue="0">
        <cfvo type="percent" val="0"/>
        <cfvo type="num" val="0" gte="0"/>
        <cfvo type="num" val="2"/>
      </iconSet>
    </cfRule>
  </conditionalFormatting>
  <conditionalFormatting sqref="P48">
    <cfRule type="iconSet" priority="56">
      <iconSet iconSet="3Symbols" showValue="0">
        <cfvo type="percent" val="0"/>
        <cfvo type="num" val="0" gte="0"/>
        <cfvo type="num" val="2"/>
      </iconSet>
    </cfRule>
  </conditionalFormatting>
  <conditionalFormatting sqref="R48">
    <cfRule type="iconSet" priority="55">
      <iconSet iconSet="3Symbols" showValue="0">
        <cfvo type="percent" val="0"/>
        <cfvo type="num" val="0" gte="0"/>
        <cfvo type="num" val="2"/>
      </iconSet>
    </cfRule>
  </conditionalFormatting>
  <conditionalFormatting sqref="X48">
    <cfRule type="iconSet" priority="54">
      <iconSet iconSet="3Symbols" showValue="0">
        <cfvo type="percent" val="0"/>
        <cfvo type="num" val="0" gte="0"/>
        <cfvo type="num" val="2"/>
      </iconSet>
    </cfRule>
  </conditionalFormatting>
  <conditionalFormatting sqref="T48">
    <cfRule type="iconSet" priority="53">
      <iconSet iconSet="3Symbols" showValue="0">
        <cfvo type="percent" val="0"/>
        <cfvo type="num" val="0" gte="0"/>
        <cfvo type="num" val="2"/>
      </iconSet>
    </cfRule>
  </conditionalFormatting>
  <conditionalFormatting sqref="X50">
    <cfRule type="iconSet" priority="52">
      <iconSet iconSet="3Symbols" showValue="0">
        <cfvo type="percent" val="0"/>
        <cfvo type="num" val="0" gte="0"/>
        <cfvo type="num" val="2"/>
      </iconSet>
    </cfRule>
  </conditionalFormatting>
  <conditionalFormatting sqref="X51">
    <cfRule type="iconSet" priority="51">
      <iconSet iconSet="3Symbols" showValue="0">
        <cfvo type="percent" val="0"/>
        <cfvo type="num" val="0" gte="0"/>
        <cfvo type="num" val="2"/>
      </iconSet>
    </cfRule>
  </conditionalFormatting>
  <conditionalFormatting sqref="X52">
    <cfRule type="iconSet" priority="50">
      <iconSet iconSet="3Symbols" showValue="0">
        <cfvo type="percent" val="0"/>
        <cfvo type="num" val="0" gte="0"/>
        <cfvo type="num" val="2"/>
      </iconSet>
    </cfRule>
  </conditionalFormatting>
  <conditionalFormatting sqref="X61">
    <cfRule type="iconSet" priority="48">
      <iconSet iconSet="3Symbols" showValue="0">
        <cfvo type="percent" val="0"/>
        <cfvo type="num" val="0" gte="0"/>
        <cfvo type="num" val="2"/>
      </iconSet>
    </cfRule>
  </conditionalFormatting>
  <conditionalFormatting sqref="X62">
    <cfRule type="iconSet" priority="46">
      <iconSet iconSet="3Symbols" showValue="0">
        <cfvo type="percent" val="0"/>
        <cfvo type="num" val="0" gte="0"/>
        <cfvo type="num" val="2"/>
      </iconSet>
    </cfRule>
  </conditionalFormatting>
  <conditionalFormatting sqref="P64 T64 V64">
    <cfRule type="iconSet" priority="45">
      <iconSet iconSet="3Symbols" showValue="0">
        <cfvo type="percent" val="0"/>
        <cfvo type="num" val="0" gte="0"/>
        <cfvo type="num" val="2"/>
      </iconSet>
    </cfRule>
  </conditionalFormatting>
  <conditionalFormatting sqref="X66">
    <cfRule type="iconSet" priority="44">
      <iconSet iconSet="3Symbols" showValue="0">
        <cfvo type="percent" val="0"/>
        <cfvo type="num" val="0" gte="0"/>
        <cfvo type="num" val="2"/>
      </iconSet>
    </cfRule>
  </conditionalFormatting>
  <conditionalFormatting sqref="L68">
    <cfRule type="iconSet" priority="43">
      <iconSet iconSet="3Symbols" showValue="0">
        <cfvo type="percent" val="0"/>
        <cfvo type="num" val="0" gte="0"/>
        <cfvo type="num" val="2"/>
      </iconSet>
    </cfRule>
  </conditionalFormatting>
  <conditionalFormatting sqref="V68">
    <cfRule type="iconSet" priority="42">
      <iconSet iconSet="3Symbols" showValue="0">
        <cfvo type="percent" val="0"/>
        <cfvo type="num" val="0" gte="0"/>
        <cfvo type="num" val="2"/>
      </iconSet>
    </cfRule>
  </conditionalFormatting>
  <conditionalFormatting sqref="L69">
    <cfRule type="iconSet" priority="40">
      <iconSet iconSet="3Symbols" showValue="0">
        <cfvo type="percent" val="0"/>
        <cfvo type="num" val="0" gte="0"/>
        <cfvo type="num" val="2"/>
      </iconSet>
    </cfRule>
  </conditionalFormatting>
  <conditionalFormatting sqref="I69:K69 O69 U69">
    <cfRule type="expression" dxfId="227" priority="37">
      <formula>(DATA_SECOND_MTG_FLAG&lt;&gt;TRUE)</formula>
    </cfRule>
  </conditionalFormatting>
  <conditionalFormatting sqref="R69">
    <cfRule type="iconSet" priority="39">
      <iconSet iconSet="3Symbols" showValue="0">
        <cfvo type="percent" val="0"/>
        <cfvo type="num" val="0" gte="0"/>
        <cfvo type="num" val="2"/>
      </iconSet>
    </cfRule>
  </conditionalFormatting>
  <conditionalFormatting sqref="X69">
    <cfRule type="iconSet" priority="38">
      <iconSet iconSet="3Symbols" showValue="0">
        <cfvo type="percent" val="0"/>
        <cfvo type="num" val="0" gte="0"/>
        <cfvo type="num" val="2"/>
      </iconSet>
    </cfRule>
  </conditionalFormatting>
  <conditionalFormatting sqref="X80">
    <cfRule type="iconSet" priority="36">
      <iconSet iconSet="3Symbols" showValue="0">
        <cfvo type="percent" val="0"/>
        <cfvo type="num" val="0" gte="0"/>
        <cfvo type="num" val="2"/>
      </iconSet>
    </cfRule>
  </conditionalFormatting>
  <conditionalFormatting sqref="X74">
    <cfRule type="iconSet" priority="35">
      <iconSet iconSet="3Symbols" showValue="0">
        <cfvo type="percent" val="0"/>
        <cfvo type="num" val="0" gte="0"/>
        <cfvo type="num" val="2"/>
      </iconSet>
    </cfRule>
  </conditionalFormatting>
  <conditionalFormatting sqref="T76">
    <cfRule type="iconSet" priority="34">
      <iconSet iconSet="3Symbols" showValue="0">
        <cfvo type="percent" val="0"/>
        <cfvo type="num" val="0" gte="0"/>
        <cfvo type="num" val="2"/>
      </iconSet>
    </cfRule>
  </conditionalFormatting>
  <conditionalFormatting sqref="X76">
    <cfRule type="iconSet" priority="33">
      <iconSet iconSet="3Symbols" showValue="0">
        <cfvo type="percent" val="0"/>
        <cfvo type="num" val="0" gte="0"/>
        <cfvo type="num" val="2"/>
      </iconSet>
    </cfRule>
  </conditionalFormatting>
  <conditionalFormatting sqref="T83">
    <cfRule type="iconSet" priority="32">
      <iconSet iconSet="3Symbols" showValue="0">
        <cfvo type="percent" val="0"/>
        <cfvo type="num" val="0" gte="0"/>
        <cfvo type="num" val="2"/>
      </iconSet>
    </cfRule>
  </conditionalFormatting>
  <conditionalFormatting sqref="X83">
    <cfRule type="iconSet" priority="31">
      <iconSet iconSet="3Symbols" showValue="0">
        <cfvo type="percent" val="0"/>
        <cfvo type="num" val="0" gte="0"/>
        <cfvo type="num" val="2"/>
      </iconSet>
    </cfRule>
  </conditionalFormatting>
  <conditionalFormatting sqref="T84">
    <cfRule type="iconSet" priority="30">
      <iconSet iconSet="3Symbols" showValue="0">
        <cfvo type="percent" val="0"/>
        <cfvo type="num" val="0" gte="0"/>
        <cfvo type="num" val="2"/>
      </iconSet>
    </cfRule>
  </conditionalFormatting>
  <conditionalFormatting sqref="X84">
    <cfRule type="iconSet" priority="29">
      <iconSet iconSet="3Symbols" showValue="0">
        <cfvo type="percent" val="0"/>
        <cfvo type="num" val="0" gte="0"/>
        <cfvo type="num" val="2"/>
      </iconSet>
    </cfRule>
  </conditionalFormatting>
  <conditionalFormatting sqref="T85">
    <cfRule type="iconSet" priority="28">
      <iconSet iconSet="3Symbols" showValue="0">
        <cfvo type="percent" val="0"/>
        <cfvo type="num" val="0" gte="0"/>
        <cfvo type="num" val="2"/>
      </iconSet>
    </cfRule>
  </conditionalFormatting>
  <conditionalFormatting sqref="X85">
    <cfRule type="iconSet" priority="27">
      <iconSet iconSet="3Symbols" showValue="0">
        <cfvo type="percent" val="0"/>
        <cfvo type="num" val="0" gte="0"/>
        <cfvo type="num" val="2"/>
      </iconSet>
    </cfRule>
  </conditionalFormatting>
  <conditionalFormatting sqref="T86">
    <cfRule type="iconSet" priority="26">
      <iconSet iconSet="3Symbols" showValue="0">
        <cfvo type="percent" val="0"/>
        <cfvo type="num" val="0" gte="0"/>
        <cfvo type="num" val="2"/>
      </iconSet>
    </cfRule>
  </conditionalFormatting>
  <conditionalFormatting sqref="X86">
    <cfRule type="iconSet" priority="25">
      <iconSet iconSet="3Symbols" showValue="0">
        <cfvo type="percent" val="0"/>
        <cfvo type="num" val="0" gte="0"/>
        <cfvo type="num" val="2"/>
      </iconSet>
    </cfRule>
  </conditionalFormatting>
  <conditionalFormatting sqref="I76:S76 U76">
    <cfRule type="expression" dxfId="226" priority="24">
      <formula>(DATA_OTHER_FHLB_GRANT_FLAG&lt;&gt;TRUE)</formula>
    </cfRule>
  </conditionalFormatting>
  <conditionalFormatting sqref="I83:X86">
    <cfRule type="expression" dxfId="225" priority="23">
      <formula>(DATA_OTHER_NON_FHLB_GRANT_FLAG&lt;&gt;TRUE)</formula>
    </cfRule>
  </conditionalFormatting>
  <conditionalFormatting sqref="I84:T86">
    <cfRule type="expression" dxfId="224" priority="22">
      <formula>OR(DATA_OTHER_NON_FHLB_GRANT_FLAG&lt;&gt;TRUE,$I83="",$T83=0)</formula>
    </cfRule>
  </conditionalFormatting>
  <conditionalFormatting sqref="U84:X86">
    <cfRule type="expression" dxfId="223" priority="21">
      <formula>OR(DATA_OTHER_NON_FHLB_GRANT_FLAG&lt;&gt;TRUE,$I84="",$T84=0)</formula>
    </cfRule>
  </conditionalFormatting>
  <conditionalFormatting sqref="Q37">
    <cfRule type="notContainsBlanks" dxfId="222" priority="20">
      <formula>LEN(TRIM(Q37))&gt;0</formula>
    </cfRule>
  </conditionalFormatting>
  <conditionalFormatting sqref="X45">
    <cfRule type="iconSet" priority="19">
      <iconSet iconSet="3Flags" showValue="0">
        <cfvo type="percent" val="0"/>
        <cfvo type="num" val="1"/>
        <cfvo type="num" val="2" gte="0"/>
      </iconSet>
    </cfRule>
  </conditionalFormatting>
  <conditionalFormatting sqref="I45:X45">
    <cfRule type="expression" dxfId="221" priority="18">
      <formula>$X$45=1</formula>
    </cfRule>
  </conditionalFormatting>
  <conditionalFormatting sqref="U62:W62">
    <cfRule type="expression" dxfId="220" priority="17">
      <formula>$C$84=1</formula>
    </cfRule>
  </conditionalFormatting>
  <conditionalFormatting sqref="W50:W52">
    <cfRule type="expression" dxfId="219" priority="16">
      <formula>$C85=1</formula>
    </cfRule>
  </conditionalFormatting>
  <conditionalFormatting sqref="X54">
    <cfRule type="iconSet" priority="15">
      <iconSet iconSet="3Symbols" showValue="0">
        <cfvo type="percent" val="0"/>
        <cfvo type="num" val="0" gte="0"/>
        <cfvo type="num" val="2"/>
      </iconSet>
    </cfRule>
  </conditionalFormatting>
  <conditionalFormatting sqref="I54:W59">
    <cfRule type="expression" dxfId="218" priority="14">
      <formula>NOT(DATA_EXPLANATION_OF_AFFORDABILITY_REQ_FLAG)</formula>
    </cfRule>
  </conditionalFormatting>
  <conditionalFormatting sqref="R118 X118 N116">
    <cfRule type="iconSet" priority="12">
      <iconSet iconSet="3Symbols" showValue="0">
        <cfvo type="percent" val="0"/>
        <cfvo type="num" val="0" gte="0"/>
        <cfvo type="num" val="2"/>
      </iconSet>
    </cfRule>
  </conditionalFormatting>
  <conditionalFormatting sqref="N116">
    <cfRule type="iconSet" priority="11">
      <iconSet iconSet="3Symbols" showValue="0">
        <cfvo type="percent" val="0"/>
        <cfvo type="num" val="0" gte="0"/>
        <cfvo type="num" val="2"/>
      </iconSet>
    </cfRule>
  </conditionalFormatting>
  <conditionalFormatting sqref="X118">
    <cfRule type="iconSet" priority="10">
      <iconSet iconSet="3Symbols" showValue="0">
        <cfvo type="percent" val="0"/>
        <cfvo type="num" val="0" gte="0"/>
        <cfvo type="num" val="2"/>
      </iconSet>
    </cfRule>
  </conditionalFormatting>
  <conditionalFormatting sqref="I119">
    <cfRule type="notContainsBlanks" dxfId="217" priority="9">
      <formula>LEN(TRIM(I119))&gt;0</formula>
    </cfRule>
  </conditionalFormatting>
  <conditionalFormatting sqref="R118">
    <cfRule type="iconSet" priority="13">
      <iconSet iconSet="3Symbols" showValue="0">
        <cfvo type="percent" val="0"/>
        <cfvo type="num" val="0" gte="0"/>
        <cfvo type="num" val="2"/>
      </iconSet>
    </cfRule>
  </conditionalFormatting>
  <conditionalFormatting sqref="T116">
    <cfRule type="iconSet" priority="8">
      <iconSet iconSet="3Symbols" showValue="0">
        <cfvo type="percent" val="0"/>
        <cfvo type="num" val="0" gte="0"/>
        <cfvo type="num" val="2"/>
      </iconSet>
    </cfRule>
  </conditionalFormatting>
  <conditionalFormatting sqref="T116">
    <cfRule type="iconSet" priority="7">
      <iconSet iconSet="3Symbols" showValue="0">
        <cfvo type="percent" val="0"/>
        <cfvo type="num" val="0" gte="0"/>
        <cfvo type="num" val="2"/>
      </iconSet>
    </cfRule>
  </conditionalFormatting>
  <conditionalFormatting sqref="X116">
    <cfRule type="iconSet" priority="5">
      <iconSet iconSet="3Symbols" showValue="0">
        <cfvo type="percent" val="0"/>
        <cfvo type="num" val="0" gte="0"/>
        <cfvo type="num" val="2"/>
      </iconSet>
    </cfRule>
  </conditionalFormatting>
  <conditionalFormatting sqref="X116">
    <cfRule type="iconSet" priority="6">
      <iconSet iconSet="3Symbols" showValue="0">
        <cfvo type="percent" val="0"/>
        <cfvo type="num" val="0" gte="0"/>
        <cfvo type="num" val="2"/>
      </iconSet>
    </cfRule>
  </conditionalFormatting>
  <conditionalFormatting sqref="X24">
    <cfRule type="iconSet" priority="2447">
      <iconSet iconSet="3Symbols" showValue="0">
        <cfvo type="percent" val="0"/>
        <cfvo type="num" val="0" gte="0"/>
        <cfvo type="num" val="2"/>
      </iconSet>
    </cfRule>
  </conditionalFormatting>
  <conditionalFormatting sqref="X25">
    <cfRule type="iconSet" priority="2448">
      <iconSet iconSet="3Symbols" showValue="0">
        <cfvo type="percent" val="0"/>
        <cfvo type="num" val="0" gte="0"/>
        <cfvo type="num" val="2"/>
      </iconSet>
    </cfRule>
  </conditionalFormatting>
  <conditionalFormatting sqref="V19">
    <cfRule type="iconSet" priority="4">
      <iconSet iconSet="3Flags">
        <cfvo type="percent" val="0"/>
        <cfvo type="num" val="0" gte="0"/>
        <cfvo type="num" val="1000" gte="0"/>
      </iconSet>
    </cfRule>
  </conditionalFormatting>
  <conditionalFormatting sqref="W19:X19">
    <cfRule type="expression" dxfId="216" priority="1">
      <formula>($X19=0)</formula>
    </cfRule>
    <cfRule type="expression" dxfId="215" priority="2">
      <formula>($X19=2)</formula>
    </cfRule>
  </conditionalFormatting>
  <conditionalFormatting sqref="X19">
    <cfRule type="iconSet" priority="3">
      <iconSet iconSet="3Symbols2" showValue="0">
        <cfvo type="percent" val="0"/>
        <cfvo type="num" val="0" gte="0"/>
        <cfvo type="num" val="1" gte="0"/>
      </iconSet>
    </cfRule>
  </conditionalFormatting>
  <dataValidations count="33">
    <dataValidation type="date" operator="greaterThanOrEqual" allowBlank="1" showInputMessage="1" showErrorMessage="1" sqref="I48:K48" xr:uid="{00000000-0002-0000-0200-000000000000}">
      <formula1>43101</formula1>
    </dataValidation>
    <dataValidation type="custom" showInputMessage="1" showErrorMessage="1" errorTitle="No Data Entry" error="Field is Read-Only" sqref="H15" xr:uid="{00000000-0002-0000-0200-000001000000}">
      <formula1>"&lt;0&gt;0"</formula1>
    </dataValidation>
    <dataValidation type="list" allowBlank="1" showInputMessage="1" showErrorMessage="1" error="Select 'Yes' or 'No'" sqref="W39 W66 W80 W74" xr:uid="{00000000-0002-0000-0200-000002000000}">
      <formula1>RANGE_LOOKUP_YESNO</formula1>
    </dataValidation>
    <dataValidation type="textLength" allowBlank="1" showInputMessage="1" showErrorMessage="1" error="Maximum Number of Characters Exceeded" sqref="I24" xr:uid="{00000000-0002-0000-0200-000003000000}">
      <formula1>E19</formula1>
      <formula2>F19</formula2>
    </dataValidation>
    <dataValidation type="list" allowBlank="1" showInputMessage="1" showErrorMessage="1" error="Invalid Mortgage Type Selected" sqref="U48" xr:uid="{00000000-0002-0000-0200-000004000000}">
      <formula1>RANGE_LOOKUP_MTG_TYPE</formula1>
    </dataValidation>
    <dataValidation type="decimal" allowBlank="1" showInputMessage="1" showErrorMessage="1" sqref="W50" xr:uid="{00000000-0002-0000-0200-000005000000}">
      <formula1>$E65</formula1>
      <formula2>$F65</formula2>
    </dataValidation>
    <dataValidation type="decimal" allowBlank="1" showInputMessage="1" showErrorMessage="1" sqref="M48:O48" xr:uid="{00000000-0002-0000-0200-000006000000}">
      <formula1>$E68</formula1>
      <formula2>$F68</formula2>
    </dataValidation>
    <dataValidation type="decimal" allowBlank="1" showInputMessage="1" showErrorMessage="1" sqref="Q48" xr:uid="{00000000-0002-0000-0200-000007000000}">
      <formula1>$E69</formula1>
      <formula2>$F69</formula2>
    </dataValidation>
    <dataValidation type="whole" allowBlank="1" showInputMessage="1" showErrorMessage="1" sqref="S48" xr:uid="{00000000-0002-0000-0200-000008000000}">
      <formula1>$E70</formula1>
      <formula2>$F70</formula2>
    </dataValidation>
    <dataValidation type="decimal" allowBlank="1" showInputMessage="1" showErrorMessage="1" sqref="W51:W52 U84:W84" xr:uid="{00000000-0002-0000-0200-000009000000}">
      <formula1>$E62</formula1>
      <formula2>$F62</formula2>
    </dataValidation>
    <dataValidation type="decimal" allowBlank="1" showInputMessage="1" showErrorMessage="1" sqref="U61:W61" xr:uid="{00000000-0002-0000-0200-00000A000000}">
      <formula1>$E67</formula1>
      <formula2>$F67</formula2>
    </dataValidation>
    <dataValidation type="whole" allowBlank="1" showInputMessage="1" showErrorMessage="1" sqref="U69:W69" xr:uid="{00000000-0002-0000-0200-00000B000000}">
      <formula1>$E75</formula1>
      <formula2>$F75</formula2>
    </dataValidation>
    <dataValidation type="textLength" allowBlank="1" showInputMessage="1" showErrorMessage="1" sqref="I83:S83" xr:uid="{00000000-0002-0000-0200-00000C000000}">
      <formula1>$E92</formula1>
      <formula2>$F92</formula2>
    </dataValidation>
    <dataValidation type="textLength" allowBlank="1" showInputMessage="1" showErrorMessage="1" sqref="I84:S84" xr:uid="{00000000-0002-0000-0200-00000D000000}">
      <formula1>$E94</formula1>
      <formula2>$F94</formula2>
    </dataValidation>
    <dataValidation type="textLength" allowBlank="1" showInputMessage="1" showErrorMessage="1" sqref="I85:S85" xr:uid="{00000000-0002-0000-0200-00000E000000}">
      <formula1>$E96</formula1>
      <formula2>$F96</formula2>
    </dataValidation>
    <dataValidation type="textLength" allowBlank="1" showInputMessage="1" showErrorMessage="1" sqref="I86:S86" xr:uid="{00000000-0002-0000-0200-00000F000000}">
      <formula1>$E98</formula1>
      <formula2>$F98</formula2>
    </dataValidation>
    <dataValidation type="decimal" allowBlank="1" showInputMessage="1" showErrorMessage="1" sqref="U76:W76" xr:uid="{00000000-0002-0000-0200-000010000000}">
      <formula1>$E102</formula1>
      <formula2>$F102</formula2>
    </dataValidation>
    <dataValidation type="textLength" allowBlank="1" showInputMessage="1" showErrorMessage="1" error="Maximum Number of Characters Exceeded" sqref="I76:S76" xr:uid="{00000000-0002-0000-0200-000011000000}">
      <formula1>$E101</formula1>
      <formula2>$F101</formula2>
    </dataValidation>
    <dataValidation type="decimal" allowBlank="1" showInputMessage="1" showErrorMessage="1" sqref="U85:W85" xr:uid="{00000000-0002-0000-0200-000012000000}">
      <formula1>$E97</formula1>
      <formula2>$F97</formula2>
    </dataValidation>
    <dataValidation type="decimal" allowBlank="1" showInputMessage="1" showErrorMessage="1" sqref="U83:W83" xr:uid="{00000000-0002-0000-0200-000013000000}">
      <formula1>$E93</formula1>
      <formula2>$F93</formula2>
    </dataValidation>
    <dataValidation type="decimal" allowBlank="1" showInputMessage="1" showErrorMessage="1" sqref="O69:Q69" xr:uid="{00000000-0002-0000-0200-000014000000}">
      <formula1>$E74</formula1>
      <formula2>$F74</formula2>
    </dataValidation>
    <dataValidation type="decimal" allowBlank="1" showInputMessage="1" showErrorMessage="1" sqref="U86:W86" xr:uid="{00000000-0002-0000-0200-000015000000}">
      <formula1>$E99</formula1>
      <formula2>$F99</formula2>
    </dataValidation>
    <dataValidation type="decimal" allowBlank="1" showInputMessage="1" showErrorMessage="1" sqref="U62:W62 I69:K69" xr:uid="{00000000-0002-0000-0200-000016000000}">
      <formula1>$E66</formula1>
      <formula2>$F66</formula2>
    </dataValidation>
    <dataValidation type="date" operator="greaterThanOrEqual" allowBlank="1" showErrorMessage="1" sqref="U116:W116" xr:uid="{00000000-0002-0000-0200-000017000000}">
      <formula1>43466</formula1>
    </dataValidation>
    <dataValidation type="whole" allowBlank="1" showInputMessage="1" showErrorMessage="1" error="Invalid Household ID Entered" sqref="I29:K29" xr:uid="{00000000-0002-0000-0200-000018000000}">
      <formula1>E32</formula1>
      <formula2>F32</formula2>
    </dataValidation>
    <dataValidation type="decimal" allowBlank="1" showInputMessage="1" showErrorMessage="1" error="Invalid Grant Amount Requested" sqref="U34:W34" xr:uid="{00000000-0002-0000-0200-000019000000}">
      <formula1>E46</formula1>
      <formula2>F46</formula2>
    </dataValidation>
    <dataValidation type="decimal" allowBlank="1" showInputMessage="1" showErrorMessage="1" error="Invalid Counseling Cost Defrayment Amount" sqref="U35:W36" xr:uid="{00000000-0002-0000-0200-00001A000000}">
      <formula1>E47</formula1>
      <formula2>F47</formula2>
    </dataValidation>
    <dataValidation type="textLength" allowBlank="1" showInputMessage="1" showErrorMessage="1" error="Maximum Number of Characters Exceeded" sqref="M29:Q29" xr:uid="{00000000-0002-0000-0200-00001B000000}">
      <formula1>E33</formula1>
      <formula2>F33</formula2>
    </dataValidation>
    <dataValidation type="textLength" allowBlank="1" showInputMessage="1" showErrorMessage="1" error="Maximum Number of Characters Exceeded" sqref="S29:W29" xr:uid="{00000000-0002-0000-0200-00001C000000}">
      <formula1>E34</formula1>
      <formula2>F34</formula2>
    </dataValidation>
    <dataValidation type="textLength" allowBlank="1" showInputMessage="1" showErrorMessage="1" error="Invalid Phone Number Entered" sqref="S118:W118" xr:uid="{00000000-0002-0000-0200-00001D000000}">
      <formula1>E118</formula1>
      <formula2>F118</formula2>
    </dataValidation>
    <dataValidation type="textLength" allowBlank="1" showInputMessage="1" showErrorMessage="1" error="Maximum Number of Characters Exceeded" sqref="O116:S116" xr:uid="{00000000-0002-0000-0200-00001E000000}">
      <formula1>E115</formula1>
      <formula2>F115</formula2>
    </dataValidation>
    <dataValidation type="textLength" allowBlank="1" showInputMessage="1" showErrorMessage="1" error="Maximum Number of Characters Exceeded" sqref="I118:Q118" xr:uid="{00000000-0002-0000-0200-00001F000000}">
      <formula1>E117</formula1>
      <formula2>F117</formula2>
    </dataValidation>
    <dataValidation type="textLength" allowBlank="1" showInputMessage="1" showErrorMessage="1" error="Maximum Number of Characters Exceeded" sqref="I116:M116" xr:uid="{00000000-0002-0000-0200-000020000000}">
      <formula1>E114</formula1>
      <formula2>F114</formula2>
    </dataValidation>
  </dataValidations>
  <pageMargins left="0.25" right="0.25" top="0.5" bottom="0.5" header="0.3" footer="0.3"/>
  <pageSetup scale="90" fitToHeight="0" orientation="portrait" r:id="rId1"/>
  <headerFooter>
    <oddFooter>&amp;R&amp;8&amp;P of &amp;N</oddFooter>
  </headerFooter>
  <rowBreaks count="3" manualBreakCount="3">
    <brk id="30" min="7" max="24" man="1"/>
    <brk id="63" min="7" max="24" man="1"/>
    <brk id="87" min="7" max="24" man="1"/>
  </rowBreaks>
  <drawing r:id="rId2"/>
  <extLst>
    <ext xmlns:x14="http://schemas.microsoft.com/office/spreadsheetml/2009/9/main" uri="{78C0D931-6437-407d-A8EE-F0AAD7539E65}">
      <x14:conditionalFormattings>
        <x14:conditionalFormatting xmlns:xm="http://schemas.microsoft.com/office/excel/2006/main">
          <x14:cfRule type="dataBar" id="{7B29BB36-1987-467D-B0AD-6A4C2CA540EB}">
            <x14:dataBar direction="leftToRight" axisPosition="none">
              <x14:cfvo type="num">
                <xm:f>0</xm:f>
              </x14:cfvo>
              <x14:cfvo type="num">
                <xm:f>1</xm:f>
              </x14:cfvo>
              <x14:negativeFillColor theme="5"/>
            </x14:dataBar>
          </x14:cfRule>
          <xm:sqref>S3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Y156"/>
  <sheetViews>
    <sheetView showGridLines="0" showRowColHeaders="0" topLeftCell="H1" zoomScaleNormal="100" zoomScaleSheetLayoutView="100" workbookViewId="0">
      <pane ySplit="4" topLeftCell="A5" activePane="bottomLeft" state="frozen"/>
      <selection pane="bottomLeft" activeCell="H5" sqref="H5"/>
    </sheetView>
  </sheetViews>
  <sheetFormatPr defaultColWidth="0" defaultRowHeight="15" customHeight="1" zeroHeight="1" x14ac:dyDescent="0.25"/>
  <cols>
    <col min="1" max="1" width="27.5703125" style="70" hidden="1" customWidth="1"/>
    <col min="2" max="7" width="15.7109375" style="70" hidden="1" customWidth="1"/>
    <col min="8" max="8" width="2.42578125" customWidth="1"/>
    <col min="9" max="9" width="10.7109375" customWidth="1"/>
    <col min="10" max="10" width="2.7109375" style="47" customWidth="1"/>
    <col min="11" max="11" width="10.7109375" customWidth="1"/>
    <col min="12" max="12" width="2.7109375" style="47" customWidth="1"/>
    <col min="13" max="13" width="10.7109375" customWidth="1"/>
    <col min="14" max="14" width="2.7109375" style="47" customWidth="1"/>
    <col min="15" max="15" width="10.7109375" customWidth="1"/>
    <col min="16" max="16" width="2.7109375" style="47" customWidth="1"/>
    <col min="17" max="17" width="10.7109375" customWidth="1"/>
    <col min="18" max="18" width="2.7109375" style="47" customWidth="1"/>
    <col min="19" max="19" width="10.7109375" customWidth="1"/>
    <col min="20" max="20" width="2.7109375" style="47" customWidth="1"/>
    <col min="21" max="21" width="10.7109375" customWidth="1"/>
    <col min="22" max="22" width="2.7109375" style="47" customWidth="1"/>
    <col min="23" max="23" width="10.7109375" customWidth="1"/>
    <col min="24" max="24" width="2.7109375" style="47" customWidth="1"/>
    <col min="25" max="25" width="2.42578125" customWidth="1"/>
    <col min="26" max="16384" width="9.140625" hidden="1"/>
  </cols>
  <sheetData>
    <row r="1" spans="1:25" ht="40.5" customHeight="1" thickBot="1" x14ac:dyDescent="0.3">
      <c r="A1" s="46" t="s">
        <v>182</v>
      </c>
      <c r="B1" s="46" t="s">
        <v>181</v>
      </c>
      <c r="C1" s="46" t="s">
        <v>178</v>
      </c>
      <c r="D1" s="46" t="s">
        <v>179</v>
      </c>
      <c r="E1" s="46" t="s">
        <v>176</v>
      </c>
      <c r="F1" s="46" t="s">
        <v>177</v>
      </c>
      <c r="G1" s="89" t="s">
        <v>180</v>
      </c>
      <c r="H1" s="87"/>
      <c r="I1" s="87"/>
      <c r="J1" s="88"/>
      <c r="K1" s="87"/>
      <c r="L1" s="88"/>
      <c r="M1" s="87"/>
      <c r="N1" s="88"/>
      <c r="O1" s="87"/>
      <c r="P1" s="88"/>
      <c r="Q1" s="87"/>
      <c r="R1" s="88"/>
      <c r="S1" s="87"/>
      <c r="T1" s="88"/>
      <c r="U1" s="87"/>
      <c r="V1" s="88"/>
      <c r="W1" s="87"/>
      <c r="X1" s="88"/>
      <c r="Y1" s="87"/>
    </row>
    <row r="2" spans="1:25" ht="3" customHeight="1" x14ac:dyDescent="0.25">
      <c r="A2" s="48"/>
      <c r="B2" s="48"/>
      <c r="C2" s="48"/>
      <c r="D2" s="48"/>
      <c r="E2" s="48"/>
      <c r="F2" s="48"/>
      <c r="G2" s="48"/>
      <c r="H2" s="49"/>
      <c r="I2" s="78"/>
      <c r="J2" s="78"/>
      <c r="K2" s="78"/>
      <c r="L2" s="78"/>
      <c r="M2" s="78"/>
      <c r="N2" s="78"/>
      <c r="O2" s="78"/>
      <c r="P2" s="79"/>
      <c r="Q2" s="79"/>
      <c r="R2" s="50"/>
      <c r="S2" s="51"/>
      <c r="T2" s="50"/>
      <c r="U2" s="50"/>
      <c r="V2" s="50"/>
      <c r="W2" s="50"/>
      <c r="X2" s="50"/>
      <c r="Y2" s="50"/>
    </row>
    <row r="3" spans="1:25" ht="15" customHeight="1" x14ac:dyDescent="0.25">
      <c r="A3" s="48"/>
      <c r="B3" s="48"/>
      <c r="C3" s="48"/>
      <c r="D3" s="48"/>
      <c r="E3" s="48"/>
      <c r="F3" s="48"/>
      <c r="G3" s="48"/>
      <c r="H3" s="52"/>
      <c r="I3" s="78" t="str">
        <f ca="1">(LEFT($B$8,40)&amp;IF(LEN($B$8)&gt;40,"…",""))</f>
        <v>Household Not Yet Specified</v>
      </c>
      <c r="J3" s="78"/>
      <c r="K3" s="78"/>
      <c r="L3" s="78"/>
      <c r="M3" s="78"/>
      <c r="N3" s="78"/>
      <c r="O3" s="78"/>
      <c r="P3" s="79"/>
      <c r="Q3" s="79"/>
      <c r="R3" s="79" t="s">
        <v>2155</v>
      </c>
      <c r="S3" s="144" t="str">
        <f ca="1">IF('$DB.DATA'!G11="ADL",VLOOKUP("APP_PROGRESS_PCT_COMPLETE",DB_TBL_DATA_FIELDS[[FIELD_ID]:[FIELD_VALUE_CLEAN]],10,FALSE),"N/A")</f>
        <v>N/A</v>
      </c>
      <c r="T3" s="128" t="str">
        <f ca="1">IF(DATA_APP_PROGRESS_ERROR_COUNT&gt;0,0,IF(DATA_EFORM_COMPLETE_FLAG,2,""))</f>
        <v/>
      </c>
      <c r="U3" s="52"/>
      <c r="V3" s="53"/>
      <c r="W3" s="52"/>
      <c r="X3" s="53"/>
      <c r="Y3" s="52"/>
    </row>
    <row r="4" spans="1:25" ht="3" customHeight="1" x14ac:dyDescent="0.25">
      <c r="A4" s="48"/>
      <c r="B4" s="48"/>
      <c r="C4" s="48"/>
      <c r="D4" s="48"/>
      <c r="E4" s="48"/>
      <c r="F4" s="48"/>
      <c r="G4" s="48"/>
      <c r="H4" s="37"/>
      <c r="I4" s="90"/>
      <c r="J4" s="90"/>
      <c r="K4" s="90"/>
      <c r="L4" s="90"/>
      <c r="M4" s="90"/>
      <c r="N4" s="90"/>
      <c r="O4" s="90"/>
      <c r="P4" s="91"/>
      <c r="Q4" s="91"/>
      <c r="R4" s="92"/>
      <c r="S4" s="37"/>
      <c r="T4" s="92"/>
      <c r="U4" s="37"/>
      <c r="V4" s="92"/>
      <c r="W4" s="37"/>
      <c r="X4" s="92"/>
      <c r="Y4" s="37"/>
    </row>
    <row r="5" spans="1:25" ht="3.95" customHeight="1" x14ac:dyDescent="0.25">
      <c r="A5" s="48"/>
      <c r="B5" s="48"/>
      <c r="C5" s="48"/>
      <c r="D5" s="48"/>
      <c r="E5" s="48"/>
      <c r="F5" s="48"/>
      <c r="G5" s="48"/>
      <c r="H5" s="42"/>
      <c r="I5" s="82"/>
      <c r="J5" s="82"/>
      <c r="K5" s="82"/>
      <c r="L5" s="82"/>
      <c r="M5" s="82"/>
      <c r="N5" s="82"/>
      <c r="O5" s="82"/>
      <c r="P5" s="83"/>
      <c r="Q5" s="83"/>
    </row>
    <row r="6" spans="1:25" ht="18" customHeight="1" x14ac:dyDescent="0.25">
      <c r="A6" s="54" t="s">
        <v>32</v>
      </c>
      <c r="B6" s="100" t="str">
        <f>CONFIG_SA_PROGRAM_NAME&amp;CONFIG_TRADEMARK_ID&amp;" "&amp;"Request Form - "&amp;CONFIG_ENROLL_PERD_DESC</f>
        <v>Homebuyer Dream Program® Request Form - 2023 Round</v>
      </c>
      <c r="C6" s="54"/>
      <c r="D6" s="54"/>
      <c r="E6" s="54"/>
      <c r="F6" s="54"/>
      <c r="G6" s="54"/>
      <c r="H6" s="62" t="str">
        <f>B11</f>
        <v/>
      </c>
      <c r="I6" s="304" t="str">
        <f>B12</f>
        <v/>
      </c>
      <c r="J6" s="304"/>
      <c r="K6" s="304"/>
      <c r="L6" s="304"/>
      <c r="M6" s="304"/>
      <c r="N6" s="304"/>
      <c r="O6" s="304"/>
      <c r="P6" s="304"/>
      <c r="Q6" s="304"/>
      <c r="R6" s="304"/>
      <c r="S6" s="304"/>
      <c r="T6" s="304"/>
      <c r="U6" s="304"/>
      <c r="V6" s="304"/>
      <c r="W6" s="304"/>
      <c r="X6" s="304"/>
      <c r="Y6" s="304"/>
    </row>
    <row r="7" spans="1:25" ht="3.95" customHeight="1" x14ac:dyDescent="0.25">
      <c r="A7" s="54" t="s">
        <v>2231</v>
      </c>
      <c r="B7" s="100" t="str">
        <f>VLOOKUP(A7,DB_TBL_CONFIG_APP[#All],4,FALSE)</f>
        <v xml:space="preserve">Other Documentation Request </v>
      </c>
      <c r="C7" s="54"/>
      <c r="D7" s="54"/>
      <c r="E7" s="54"/>
      <c r="F7" s="54"/>
      <c r="G7" s="54"/>
      <c r="H7" s="62"/>
      <c r="I7" s="62"/>
      <c r="J7" s="62"/>
      <c r="K7" s="62"/>
      <c r="L7" s="62"/>
      <c r="M7" s="62"/>
      <c r="N7" s="62"/>
      <c r="O7" s="62"/>
      <c r="P7" s="62"/>
      <c r="Q7" s="62"/>
      <c r="R7" s="62"/>
      <c r="S7" s="62"/>
      <c r="T7" s="62"/>
      <c r="U7" s="62"/>
      <c r="V7" s="62"/>
      <c r="W7" s="62"/>
      <c r="X7" s="62"/>
      <c r="Y7" s="62"/>
    </row>
    <row r="8" spans="1:25" s="39" customFormat="1" ht="21.95" customHeight="1" thickBot="1" x14ac:dyDescent="0.25">
      <c r="A8" s="54" t="s">
        <v>2380</v>
      </c>
      <c r="B8" s="100" t="str">
        <f ca="1">IF(DATA_HSEHLD_BANNER="","Household Not Yet Specified",DATA_HSEHLD_BANNER)</f>
        <v>Household Not Yet Specified</v>
      </c>
      <c r="C8" s="57"/>
      <c r="D8" s="57"/>
      <c r="E8" s="54"/>
      <c r="F8" s="54"/>
      <c r="G8" s="54"/>
      <c r="H8" s="62"/>
      <c r="I8" s="125" t="s">
        <v>2383</v>
      </c>
      <c r="J8" s="126"/>
      <c r="K8" s="126"/>
      <c r="L8" s="126"/>
      <c r="M8" s="126"/>
      <c r="N8" s="126"/>
      <c r="O8" s="126"/>
      <c r="P8" s="126"/>
      <c r="Q8" s="126"/>
      <c r="R8" s="126"/>
      <c r="S8" s="126"/>
      <c r="T8" s="126"/>
      <c r="U8" s="126"/>
      <c r="V8" s="126"/>
      <c r="W8" s="126"/>
      <c r="X8" s="126"/>
      <c r="Y8" s="62"/>
    </row>
    <row r="9" spans="1:25" s="39" customFormat="1" ht="99.75" customHeight="1" x14ac:dyDescent="0.25">
      <c r="A9" s="57" t="s">
        <v>2169</v>
      </c>
      <c r="B9" s="68">
        <f>SUM(B28,B54)</f>
        <v>0</v>
      </c>
      <c r="C9" s="57"/>
      <c r="D9" s="57"/>
      <c r="E9" s="57"/>
      <c r="F9" s="57"/>
      <c r="G9" s="57"/>
      <c r="H9" s="62"/>
      <c r="I9" s="310" t="s">
        <v>2936</v>
      </c>
      <c r="J9" s="310"/>
      <c r="K9" s="310"/>
      <c r="L9" s="310"/>
      <c r="M9" s="310"/>
      <c r="N9" s="310"/>
      <c r="O9" s="310"/>
      <c r="P9" s="310"/>
      <c r="Q9" s="310"/>
      <c r="R9" s="310"/>
      <c r="S9" s="310"/>
      <c r="T9" s="310"/>
      <c r="U9" s="310"/>
      <c r="V9" s="310"/>
      <c r="W9" s="310"/>
      <c r="X9" s="310"/>
      <c r="Y9" s="62"/>
    </row>
    <row r="10" spans="1:25" s="39" customFormat="1" ht="9.9499999999999993" customHeight="1" x14ac:dyDescent="0.25">
      <c r="A10" s="57" t="s">
        <v>2170</v>
      </c>
      <c r="B10" s="68" t="b">
        <f>B9&gt;0</f>
        <v>0</v>
      </c>
      <c r="C10" s="57"/>
      <c r="D10" s="57"/>
      <c r="E10" s="57"/>
      <c r="F10" s="57"/>
      <c r="G10" s="57"/>
      <c r="H10" s="62"/>
      <c r="I10" s="62"/>
      <c r="J10" s="62"/>
      <c r="K10" s="62"/>
      <c r="L10" s="62"/>
      <c r="M10" s="62"/>
      <c r="N10" s="62"/>
      <c r="O10" s="62"/>
      <c r="P10" s="62"/>
      <c r="Q10" s="62"/>
      <c r="R10" s="62"/>
      <c r="S10" s="62"/>
      <c r="T10" s="62"/>
      <c r="U10" s="62"/>
      <c r="V10" s="62"/>
      <c r="W10" s="62"/>
      <c r="X10" s="62"/>
      <c r="Y10" s="62"/>
    </row>
    <row r="11" spans="1:25" s="39" customFormat="1" ht="21.95" customHeight="1" thickBot="1" x14ac:dyDescent="0.3">
      <c r="A11" s="57" t="s">
        <v>2171</v>
      </c>
      <c r="B11" s="68" t="str">
        <f>IF(B10,1,"")</f>
        <v/>
      </c>
      <c r="C11" s="57"/>
      <c r="D11" s="57"/>
      <c r="E11" s="57"/>
      <c r="F11" s="57"/>
      <c r="G11" s="57"/>
      <c r="H11" s="62"/>
      <c r="I11" s="125" t="s">
        <v>2930</v>
      </c>
      <c r="J11" s="126"/>
      <c r="K11" s="126"/>
      <c r="L11" s="126"/>
      <c r="M11" s="126"/>
      <c r="N11" s="126"/>
      <c r="O11" s="126"/>
      <c r="P11" s="126"/>
      <c r="Q11" s="126"/>
      <c r="R11" s="126"/>
      <c r="S11" s="126"/>
      <c r="T11" s="126"/>
      <c r="U11" s="126"/>
      <c r="V11" s="126"/>
      <c r="W11" s="126"/>
      <c r="X11" s="126"/>
      <c r="Y11" s="62"/>
    </row>
    <row r="12" spans="1:25" s="39" customFormat="1" ht="6.75" customHeight="1" x14ac:dyDescent="0.2">
      <c r="A12" s="57" t="s">
        <v>2172</v>
      </c>
      <c r="B12" s="100" t="str">
        <f>IF(B10,B9&amp;" "&amp;'$DB.CONFIG'!$M$5,"")</f>
        <v/>
      </c>
      <c r="C12" s="57"/>
      <c r="D12" s="57"/>
      <c r="E12" s="57"/>
      <c r="F12" s="57"/>
      <c r="G12" s="57"/>
      <c r="H12" s="62"/>
      <c r="I12" s="63"/>
      <c r="J12" s="62"/>
      <c r="K12" s="62"/>
      <c r="L12" s="62"/>
      <c r="M12" s="62"/>
      <c r="N12" s="62"/>
      <c r="O12" s="62"/>
      <c r="P12" s="62"/>
      <c r="Q12" s="62"/>
      <c r="R12" s="62"/>
      <c r="S12" s="62"/>
      <c r="T12" s="62"/>
      <c r="U12" s="62"/>
      <c r="V12" s="62"/>
      <c r="W12" s="62"/>
      <c r="X12" s="62"/>
      <c r="Y12" s="62"/>
    </row>
    <row r="13" spans="1:25" s="39" customFormat="1" ht="21.95" customHeight="1" x14ac:dyDescent="0.25">
      <c r="A13" s="57"/>
      <c r="B13" s="57"/>
      <c r="C13" s="57"/>
      <c r="D13" s="57"/>
      <c r="E13" s="57"/>
      <c r="F13" s="57"/>
      <c r="G13" s="57"/>
      <c r="H13"/>
      <c r="I13" s="56" t="s">
        <v>25</v>
      </c>
      <c r="J13" s="81">
        <f>1</f>
        <v>1</v>
      </c>
      <c r="K13" s="77"/>
      <c r="L13" s="77"/>
      <c r="M13" s="56" t="s">
        <v>2203</v>
      </c>
      <c r="N13" s="81">
        <f>2</f>
        <v>2</v>
      </c>
      <c r="Q13" s="56" t="s">
        <v>2204</v>
      </c>
      <c r="R13" s="81">
        <f>0</f>
        <v>0</v>
      </c>
      <c r="U13" s="307" t="s">
        <v>2205</v>
      </c>
      <c r="V13" s="308"/>
      <c r="W13" s="308"/>
      <c r="X13" s="309"/>
      <c r="Y13"/>
    </row>
    <row r="14" spans="1:25" s="39" customFormat="1" ht="21.95" customHeight="1" x14ac:dyDescent="0.25">
      <c r="A14" s="57"/>
      <c r="B14" s="57"/>
      <c r="C14" s="57"/>
      <c r="D14" s="57"/>
      <c r="E14" s="57"/>
      <c r="F14" s="57"/>
      <c r="G14" s="57"/>
      <c r="H14"/>
      <c r="I14"/>
      <c r="J14" s="47"/>
      <c r="K14"/>
      <c r="L14" s="47"/>
      <c r="M14"/>
      <c r="N14" s="47"/>
      <c r="O14"/>
      <c r="P14" s="47"/>
      <c r="Q14"/>
      <c r="R14" s="47"/>
      <c r="S14"/>
      <c r="T14" s="47"/>
      <c r="U14"/>
      <c r="V14" s="47"/>
      <c r="W14"/>
      <c r="X14" s="47"/>
      <c r="Y14"/>
    </row>
    <row r="15" spans="1:25" s="39" customFormat="1" ht="21.95" customHeight="1" thickBot="1" x14ac:dyDescent="0.3">
      <c r="A15" s="57"/>
      <c r="B15" s="57"/>
      <c r="C15" s="57"/>
      <c r="D15" s="57"/>
      <c r="E15" s="57"/>
      <c r="F15" s="57"/>
      <c r="G15" s="57"/>
      <c r="I15" s="58" t="s">
        <v>189</v>
      </c>
      <c r="J15" s="58"/>
      <c r="K15" s="58"/>
      <c r="L15" s="58"/>
      <c r="M15" s="58"/>
      <c r="N15" s="58"/>
      <c r="O15" s="58"/>
      <c r="P15" s="58"/>
      <c r="Q15" s="58"/>
      <c r="R15" s="58"/>
      <c r="S15" s="58"/>
      <c r="T15" s="58"/>
      <c r="U15" s="58"/>
      <c r="V15" s="58"/>
      <c r="W15" s="58"/>
      <c r="X15" s="59"/>
    </row>
    <row r="16" spans="1:25" s="39" customFormat="1" ht="21.95" customHeight="1" x14ac:dyDescent="0.25">
      <c r="A16" s="57"/>
      <c r="B16" s="57"/>
      <c r="C16" s="57"/>
      <c r="D16" s="57"/>
      <c r="E16" s="57"/>
      <c r="F16" s="57"/>
      <c r="G16" s="57"/>
      <c r="H16" s="60"/>
      <c r="I16" s="40"/>
      <c r="J16" s="40"/>
      <c r="K16" s="40"/>
      <c r="L16" s="40"/>
      <c r="M16" s="40"/>
      <c r="N16" s="40"/>
      <c r="O16" s="61"/>
      <c r="P16" s="61"/>
      <c r="Q16" s="40"/>
      <c r="R16" s="40"/>
      <c r="S16" s="40"/>
      <c r="T16" s="40"/>
      <c r="U16" s="40"/>
      <c r="V16" s="40"/>
      <c r="W16" s="40"/>
      <c r="X16" s="40"/>
    </row>
    <row r="17" spans="1:25" s="39" customFormat="1" ht="21.95" customHeight="1" x14ac:dyDescent="0.25">
      <c r="A17" s="57"/>
      <c r="B17" s="57"/>
      <c r="C17" s="57"/>
      <c r="D17" s="57"/>
      <c r="E17" s="57"/>
      <c r="F17" s="57"/>
      <c r="G17" s="57"/>
      <c r="I17" s="305" t="str">
        <f>"1     "&amp;VLOOKUP("SECTION_1_TOC_LABEL",A:B,2,FALSE)</f>
        <v>1     FHLBNY Member</v>
      </c>
      <c r="J17" s="305"/>
      <c r="K17" s="305"/>
      <c r="L17" s="305"/>
      <c r="M17" s="305"/>
      <c r="N17" s="62" t="str">
        <f>IF($B$29,1,"")</f>
        <v/>
      </c>
      <c r="O17" s="76" t="str">
        <f ca="1">$B$25</f>
        <v>Not Started</v>
      </c>
      <c r="P17" s="62" t="str">
        <f ca="1">B26</f>
        <v/>
      </c>
      <c r="Q17" s="306" t="str">
        <f>"3     "&amp;VLOOKUP("SECTION_3_TOC_LABEL",$A:$B,2,FALSE)</f>
        <v>3     Member Certification</v>
      </c>
      <c r="R17" s="306"/>
      <c r="S17" s="306"/>
      <c r="T17" s="306"/>
      <c r="U17" s="306"/>
      <c r="V17" s="62" t="str">
        <f>IF($B$71,1,"")</f>
        <v/>
      </c>
      <c r="W17" s="76" t="str">
        <f ca="1">$B$67</f>
        <v>Not Started</v>
      </c>
      <c r="X17" s="62" t="str">
        <f ca="1">$B$68</f>
        <v/>
      </c>
    </row>
    <row r="18" spans="1:25" s="39" customFormat="1" ht="21.95" customHeight="1" x14ac:dyDescent="0.25">
      <c r="A18" s="97" t="s">
        <v>121</v>
      </c>
      <c r="B18" s="236" t="s">
        <v>2877</v>
      </c>
      <c r="C18" s="98"/>
      <c r="D18" s="98"/>
      <c r="E18" s="98"/>
      <c r="F18" s="98"/>
      <c r="G18" s="98"/>
      <c r="I18" s="305" t="str">
        <f>"2     "&amp;VLOOKUP("SECTION_2_TOC_LABEL",$A:$B,2,FALSE)</f>
        <v>2     Household &amp; Submission Details</v>
      </c>
      <c r="J18" s="305"/>
      <c r="K18" s="305"/>
      <c r="L18" s="305"/>
      <c r="M18" s="305"/>
      <c r="N18" s="62" t="str">
        <f>IF($B$55,1,"")</f>
        <v/>
      </c>
      <c r="O18" s="76" t="str">
        <f ca="1">$B$51</f>
        <v>Not Started</v>
      </c>
      <c r="P18" s="62" t="str">
        <f ca="1">$B$52</f>
        <v/>
      </c>
      <c r="Q18" s="243"/>
      <c r="R18" s="243"/>
      <c r="S18" s="243"/>
      <c r="T18" s="243"/>
      <c r="U18" s="243"/>
      <c r="V18" s="62"/>
      <c r="W18" s="76"/>
      <c r="X18" s="62" t="s">
        <v>54</v>
      </c>
    </row>
    <row r="19" spans="1:25" s="39" customFormat="1" ht="21.95" customHeight="1" x14ac:dyDescent="0.25">
      <c r="A19" s="64" t="s">
        <v>2247</v>
      </c>
      <c r="B19" s="101" t="str">
        <f>IF(I23="","",I23)</f>
        <v/>
      </c>
      <c r="C19" s="57">
        <f ca="1">VLOOKUP(A19,DB_TBL_DATA_FIELDS[[FIELD_ID]:[PCT_CALC_FIELD_STATUS_CODE]],22,FALSE)</f>
        <v>1</v>
      </c>
      <c r="D19" s="57" t="str">
        <f>IF(VLOOKUP(A19,DB_TBL_DATA_FIELDS[[FIELD_ID]:[ERROR_MESSAGE]],23,FALSE)&lt;&gt;0,VLOOKUP(A19,DB_TBL_DATA_FIELDS[[FIELD_ID]:[ERROR_MESSAGE]],23,FALSE),"")</f>
        <v/>
      </c>
      <c r="E19" s="57">
        <f>VLOOKUP(A19,DB_TBL_DATA_FIELDS[[#All],[FIELD_ID]:[RANGE_VALIDATION_MAX]],18,FALSE)</f>
        <v>0</v>
      </c>
      <c r="F19" s="57">
        <f>VLOOKUP(A19,DB_TBL_DATA_FIELDS[[#All],[FIELD_ID]:[RANGE_VALIDATION_MAX]],19,FALSE)</f>
        <v>100</v>
      </c>
      <c r="G19" s="57">
        <f ca="1">IF(C19&lt;0,"",C19)</f>
        <v>1</v>
      </c>
      <c r="J19" s="47"/>
      <c r="L19" s="47"/>
      <c r="N19" s="47"/>
      <c r="P19" s="47"/>
      <c r="R19" s="47"/>
      <c r="T19" s="47"/>
      <c r="V19" s="47"/>
      <c r="X19" s="47"/>
    </row>
    <row r="20" spans="1:25" s="39" customFormat="1" ht="21.95" customHeight="1" thickBot="1" x14ac:dyDescent="0.3">
      <c r="A20" s="64" t="s">
        <v>120</v>
      </c>
      <c r="B20" s="68" t="str">
        <f>"C"&amp;MATCH(LEFT(A20,LEN(A20)-LEN("_RANGE")),A:A,0)+1&amp;":C"&amp;(ROW()-1)</f>
        <v>C19:C19</v>
      </c>
      <c r="C20" s="57"/>
      <c r="D20" s="57"/>
      <c r="E20" s="57"/>
      <c r="F20" s="57"/>
      <c r="G20" s="57"/>
      <c r="H20" s="40"/>
      <c r="I20" s="58" t="str">
        <f>B18</f>
        <v>Federal Home Loan Bank of New York Member</v>
      </c>
      <c r="J20" s="58"/>
      <c r="K20" s="58"/>
      <c r="L20" s="58"/>
      <c r="M20" s="58"/>
      <c r="N20" s="58"/>
      <c r="O20" s="58"/>
      <c r="P20" s="58"/>
      <c r="Q20" s="58"/>
      <c r="R20" s="58"/>
      <c r="S20" s="58"/>
      <c r="T20" s="58"/>
      <c r="U20" s="58"/>
      <c r="V20" s="58"/>
      <c r="W20" s="58"/>
      <c r="X20" s="59" t="str">
        <f ca="1">"Status: "&amp;$B$25</f>
        <v>Status: Not Started</v>
      </c>
      <c r="Y20" s="40"/>
    </row>
    <row r="21" spans="1:25" s="39" customFormat="1" ht="21.95" customHeight="1" x14ac:dyDescent="0.25">
      <c r="A21" s="64" t="s">
        <v>114</v>
      </c>
      <c r="B21" s="68">
        <f ca="1">COUNTIF(INDIRECT($B20),2)</f>
        <v>0</v>
      </c>
      <c r="C21" s="57"/>
      <c r="D21" s="57"/>
      <c r="E21" s="57"/>
      <c r="F21" s="57"/>
      <c r="G21" s="57"/>
      <c r="H21" s="40"/>
      <c r="I21" s="40"/>
      <c r="J21" s="40"/>
      <c r="K21" s="40"/>
      <c r="L21" s="40"/>
      <c r="M21" s="40"/>
      <c r="N21" s="40"/>
      <c r="O21" s="40"/>
      <c r="P21" s="40"/>
      <c r="Q21" s="40"/>
      <c r="R21" s="40"/>
      <c r="S21" s="40"/>
      <c r="T21" s="40"/>
      <c r="U21" s="40"/>
      <c r="V21" s="40"/>
      <c r="W21" s="40"/>
      <c r="X21" s="40"/>
      <c r="Y21" s="40"/>
    </row>
    <row r="22" spans="1:25" s="39" customFormat="1" ht="21.95" customHeight="1" x14ac:dyDescent="0.25">
      <c r="A22" s="64" t="s">
        <v>115</v>
      </c>
      <c r="B22" s="68">
        <f ca="1">COUNTIF(INDIRECT($B20),0)+COUNTIF(INDIRECT($B20),1)+COUNTIF(INDIRECT($B20),2)</f>
        <v>1</v>
      </c>
      <c r="C22" s="57"/>
      <c r="D22" s="57"/>
      <c r="E22" s="57"/>
      <c r="F22" s="57"/>
      <c r="G22" s="57"/>
      <c r="I22" s="39" t="s">
        <v>132</v>
      </c>
      <c r="J22" s="47"/>
      <c r="L22" s="47"/>
      <c r="N22" s="47"/>
      <c r="P22" s="47"/>
      <c r="R22" s="47"/>
      <c r="T22" s="47"/>
      <c r="U22" s="166"/>
      <c r="V22" s="166"/>
      <c r="W22" s="166"/>
      <c r="X22" s="166"/>
    </row>
    <row r="23" spans="1:25" s="39" customFormat="1" ht="21.95" customHeight="1" x14ac:dyDescent="0.25">
      <c r="A23" s="64" t="s">
        <v>116</v>
      </c>
      <c r="B23" s="68">
        <f ca="1">COUNTIF(INDIRECT($B20),0)</f>
        <v>0</v>
      </c>
      <c r="C23" s="57"/>
      <c r="D23" s="57"/>
      <c r="E23" s="57"/>
      <c r="F23" s="57"/>
      <c r="G23" s="57"/>
      <c r="I23" s="283"/>
      <c r="J23" s="284"/>
      <c r="K23" s="284"/>
      <c r="L23" s="284"/>
      <c r="M23" s="284"/>
      <c r="N23" s="284"/>
      <c r="O23" s="284"/>
      <c r="P23" s="284"/>
      <c r="Q23" s="284"/>
      <c r="R23" s="284"/>
      <c r="S23" s="284"/>
      <c r="T23" s="284"/>
      <c r="U23" s="284"/>
      <c r="V23" s="284"/>
      <c r="W23" s="285"/>
      <c r="X23" s="55">
        <f ca="1">$G19</f>
        <v>1</v>
      </c>
    </row>
    <row r="24" spans="1:25" s="39" customFormat="1" ht="21.95" customHeight="1" x14ac:dyDescent="0.25">
      <c r="A24" s="64" t="s">
        <v>117</v>
      </c>
      <c r="B24" s="103">
        <f ca="1">IFERROR(B21/B22,1.01)</f>
        <v>0</v>
      </c>
      <c r="C24" s="57"/>
      <c r="D24" s="57"/>
      <c r="E24" s="57"/>
      <c r="F24" s="57"/>
      <c r="G24" s="57"/>
      <c r="N24" s="55"/>
      <c r="X24" s="55"/>
    </row>
    <row r="25" spans="1:25" s="39" customFormat="1" ht="21.95" customHeight="1" thickBot="1" x14ac:dyDescent="0.3">
      <c r="A25" s="64" t="s">
        <v>118</v>
      </c>
      <c r="B25" s="68" t="str">
        <f ca="1">IF(B23&gt;0,"Data Error(s)",IF(B24=0,"Not Started",IF(B24&lt;1,ROUNDUP(B24*100,0)&amp;"% Done",IF(B24&gt;1,"Optional","Complete"))))</f>
        <v>Not Started</v>
      </c>
      <c r="C25" s="57"/>
      <c r="D25" s="57"/>
      <c r="E25" s="57"/>
      <c r="F25" s="57"/>
      <c r="G25" s="57"/>
      <c r="I25" s="58" t="str">
        <f>B30</f>
        <v>Household &amp; Submission Details</v>
      </c>
      <c r="J25" s="58"/>
      <c r="K25" s="58"/>
      <c r="L25" s="58"/>
      <c r="M25" s="58"/>
      <c r="N25" s="58"/>
      <c r="O25" s="58"/>
      <c r="P25" s="58"/>
      <c r="Q25" s="58"/>
      <c r="R25" s="58"/>
      <c r="S25" s="58"/>
      <c r="T25" s="58"/>
      <c r="U25" s="58"/>
      <c r="V25" s="58"/>
      <c r="W25" s="58"/>
      <c r="X25" s="59" t="str">
        <f ca="1">"Status: "&amp;$B$51</f>
        <v>Status: Not Started</v>
      </c>
    </row>
    <row r="26" spans="1:25" s="39" customFormat="1" ht="21.95" customHeight="1" x14ac:dyDescent="0.25">
      <c r="A26" s="64" t="s">
        <v>119</v>
      </c>
      <c r="B26" s="68" t="str">
        <f ca="1">IF(B23&gt;0,0,IF(B24&lt;1,"",2))</f>
        <v/>
      </c>
      <c r="C26" s="57"/>
      <c r="D26" s="57"/>
      <c r="E26" s="57"/>
      <c r="F26" s="57"/>
      <c r="G26" s="57"/>
      <c r="J26" s="47"/>
      <c r="L26" s="47"/>
      <c r="N26" s="47"/>
      <c r="P26" s="47"/>
      <c r="R26" s="47"/>
      <c r="T26" s="47"/>
      <c r="V26" s="47"/>
      <c r="X26" s="47"/>
    </row>
    <row r="27" spans="1:25" s="39" customFormat="1" ht="21.95" customHeight="1" x14ac:dyDescent="0.25">
      <c r="A27" s="64" t="s">
        <v>122</v>
      </c>
      <c r="B27" s="102" t="s">
        <v>2878</v>
      </c>
      <c r="C27" s="57"/>
      <c r="D27" s="57"/>
      <c r="E27" s="57"/>
      <c r="F27" s="57"/>
      <c r="G27" s="57"/>
      <c r="I27" s="39" t="s">
        <v>2526</v>
      </c>
      <c r="J27" s="47"/>
      <c r="L27" s="47"/>
      <c r="M27" s="39" t="s">
        <v>2527</v>
      </c>
      <c r="N27" s="47"/>
      <c r="P27" s="47"/>
      <c r="S27" s="39" t="s">
        <v>2528</v>
      </c>
      <c r="T27" s="47"/>
      <c r="V27" s="47"/>
      <c r="X27" s="47"/>
    </row>
    <row r="28" spans="1:25" s="39" customFormat="1" ht="21.95" customHeight="1" x14ac:dyDescent="0.25">
      <c r="A28" s="80" t="s">
        <v>2159</v>
      </c>
      <c r="B28" s="68">
        <v>0</v>
      </c>
      <c r="C28" s="57"/>
      <c r="D28" s="57"/>
      <c r="E28" s="57"/>
      <c r="F28" s="57"/>
      <c r="G28" s="57"/>
      <c r="I28" s="283"/>
      <c r="J28" s="284"/>
      <c r="K28" s="285"/>
      <c r="L28" s="55" t="str">
        <f ca="1">G35</f>
        <v/>
      </c>
      <c r="M28" s="283"/>
      <c r="N28" s="284"/>
      <c r="O28" s="284"/>
      <c r="P28" s="284"/>
      <c r="Q28" s="285"/>
      <c r="R28" s="55">
        <f ca="1">G31</f>
        <v>1</v>
      </c>
      <c r="S28" s="283"/>
      <c r="T28" s="284"/>
      <c r="U28" s="284"/>
      <c r="V28" s="284"/>
      <c r="W28" s="285"/>
      <c r="X28" s="55">
        <f ca="1">G32</f>
        <v>1</v>
      </c>
    </row>
    <row r="29" spans="1:25" s="39" customFormat="1" ht="21.95" customHeight="1" x14ac:dyDescent="0.25">
      <c r="A29" s="80" t="s">
        <v>2160</v>
      </c>
      <c r="B29" s="68" t="b">
        <f>(B28&gt;0)</f>
        <v>0</v>
      </c>
      <c r="C29" s="57"/>
      <c r="D29" s="57"/>
      <c r="E29" s="57"/>
      <c r="F29" s="57"/>
      <c r="G29" s="57"/>
      <c r="I29" s="39" t="s">
        <v>2529</v>
      </c>
      <c r="J29" s="47"/>
      <c r="L29" s="47"/>
      <c r="N29" s="47"/>
      <c r="P29" s="47"/>
      <c r="R29" s="47"/>
      <c r="W29" s="167" t="str">
        <f>SUBSTITUTE(SUBSTITUTE(SUBSTITUTE(IF(LEN(B34)&gt;F34,CONFIG_CHAR_LIMIT_TEMPLATE_ERR,CONFIG_CHAR_LIMIT_TEMPLATE),"[diff]",ABS(LEN(B34)-F34)),"[limit]",F34),"[used]",LEN(B34))</f>
        <v>400 character(s) remaining</v>
      </c>
      <c r="X29" s="47"/>
    </row>
    <row r="30" spans="1:25" s="39" customFormat="1" ht="21.95" customHeight="1" x14ac:dyDescent="0.25">
      <c r="A30" s="97" t="s">
        <v>123</v>
      </c>
      <c r="B30" s="99" t="s">
        <v>2525</v>
      </c>
      <c r="C30" s="98"/>
      <c r="D30" s="98"/>
      <c r="E30" s="98"/>
      <c r="F30" s="98"/>
      <c r="G30" s="98"/>
      <c r="I30" s="350"/>
      <c r="J30" s="351"/>
      <c r="K30" s="351"/>
      <c r="L30" s="351"/>
      <c r="M30" s="351"/>
      <c r="N30" s="351"/>
      <c r="O30" s="351"/>
      <c r="P30" s="351"/>
      <c r="Q30" s="351"/>
      <c r="R30" s="351"/>
      <c r="S30" s="351"/>
      <c r="T30" s="351"/>
      <c r="U30" s="351"/>
      <c r="V30" s="351"/>
      <c r="W30" s="352"/>
      <c r="X30" s="55" t="str">
        <f ca="1">G34</f>
        <v/>
      </c>
    </row>
    <row r="31" spans="1:25" s="39" customFormat="1" ht="21.95" customHeight="1" x14ac:dyDescent="0.25">
      <c r="A31" s="64" t="s">
        <v>2264</v>
      </c>
      <c r="B31" s="101" t="str">
        <f>IF(M28&lt;&gt;"",M28,"")</f>
        <v/>
      </c>
      <c r="C31" s="57">
        <f ca="1">VLOOKUP(A31,DB_TBL_DATA_FIELDS[[FIELD_ID]:[PCT_CALC_FIELD_STATUS_CODE]],22,FALSE)</f>
        <v>1</v>
      </c>
      <c r="D31" s="57" t="str">
        <f>IF(VLOOKUP(A31,DB_TBL_DATA_FIELDS[[FIELD_ID]:[ERROR_MESSAGE]],23,FALSE)&lt;&gt;0,VLOOKUP(A31,DB_TBL_DATA_FIELDS[[FIELD_ID]:[ERROR_MESSAGE]],23,FALSE),"")</f>
        <v/>
      </c>
      <c r="E31" s="57">
        <f>VLOOKUP(A31,DB_TBL_DATA_FIELDS[[#All],[FIELD_ID]:[RANGE_VALIDATION_MAX]],18,FALSE)</f>
        <v>0</v>
      </c>
      <c r="F31" s="57">
        <f>VLOOKUP(A31,DB_TBL_DATA_FIELDS[[#All],[FIELD_ID]:[RANGE_VALIDATION_MAX]],19,FALSE)</f>
        <v>30</v>
      </c>
      <c r="G31" s="57">
        <f t="shared" ref="G31:G35" ca="1" si="0">IF(C31&lt;0,"",C31)</f>
        <v>1</v>
      </c>
      <c r="I31" s="353"/>
      <c r="J31" s="354"/>
      <c r="K31" s="354"/>
      <c r="L31" s="354"/>
      <c r="M31" s="354"/>
      <c r="N31" s="354"/>
      <c r="O31" s="354"/>
      <c r="P31" s="354"/>
      <c r="Q31" s="354"/>
      <c r="R31" s="354"/>
      <c r="S31" s="354"/>
      <c r="T31" s="354"/>
      <c r="U31" s="354"/>
      <c r="V31" s="354"/>
      <c r="W31" s="355"/>
      <c r="X31" s="47"/>
    </row>
    <row r="32" spans="1:25" s="39" customFormat="1" ht="21.95" customHeight="1" x14ac:dyDescent="0.25">
      <c r="A32" s="64" t="s">
        <v>2265</v>
      </c>
      <c r="B32" s="101" t="str">
        <f>IF(S28&lt;&gt;"",S28,"")</f>
        <v/>
      </c>
      <c r="C32" s="57">
        <f ca="1">VLOOKUP(A32,DB_TBL_DATA_FIELDS[[FIELD_ID]:[PCT_CALC_FIELD_STATUS_CODE]],22,FALSE)</f>
        <v>1</v>
      </c>
      <c r="D32" s="57" t="str">
        <f>IF(VLOOKUP(A32,DB_TBL_DATA_FIELDS[[FIELD_ID]:[ERROR_MESSAGE]],23,FALSE)&lt;&gt;0,VLOOKUP(A32,DB_TBL_DATA_FIELDS[[FIELD_ID]:[ERROR_MESSAGE]],23,FALSE),"")</f>
        <v/>
      </c>
      <c r="E32" s="57">
        <f>VLOOKUP(A32,DB_TBL_DATA_FIELDS[[#All],[FIELD_ID]:[RANGE_VALIDATION_MAX]],18,FALSE)</f>
        <v>0</v>
      </c>
      <c r="F32" s="57">
        <f>VLOOKUP(A32,DB_TBL_DATA_FIELDS[[#All],[FIELD_ID]:[RANGE_VALIDATION_MAX]],19,FALSE)</f>
        <v>30</v>
      </c>
      <c r="G32" s="57">
        <f t="shared" ca="1" si="0"/>
        <v>1</v>
      </c>
      <c r="I32" s="353"/>
      <c r="J32" s="354"/>
      <c r="K32" s="354"/>
      <c r="L32" s="354"/>
      <c r="M32" s="354"/>
      <c r="N32" s="354"/>
      <c r="O32" s="354"/>
      <c r="P32" s="354"/>
      <c r="Q32" s="354"/>
      <c r="R32" s="354"/>
      <c r="S32" s="354"/>
      <c r="T32" s="354"/>
      <c r="U32" s="354"/>
      <c r="V32" s="354"/>
      <c r="W32" s="355"/>
      <c r="X32" s="47"/>
    </row>
    <row r="33" spans="1:25" s="39" customFormat="1" ht="21.95" customHeight="1" x14ac:dyDescent="0.25">
      <c r="A33" s="64" t="s">
        <v>2377</v>
      </c>
      <c r="B33" s="101" t="str">
        <f>IF(W38="","",IF(UPPER(W38)="YES",TRUE,FALSE))</f>
        <v/>
      </c>
      <c r="C33" s="57">
        <f ca="1">VLOOKUP(A33,DB_TBL_DATA_FIELDS[[FIELD_ID]:[PCT_CALC_FIELD_STATUS_CODE]],22,FALSE)</f>
        <v>-1</v>
      </c>
      <c r="D33" s="57" t="str">
        <f>IF(VLOOKUP(A33,DB_TBL_DATA_FIELDS[[FIELD_ID]:[ERROR_MESSAGE]],23,FALSE)&lt;&gt;0,VLOOKUP(A33,DB_TBL_DATA_FIELDS[[FIELD_ID]:[ERROR_MESSAGE]],23,FALSE),"")</f>
        <v/>
      </c>
      <c r="E33" s="57">
        <f>VLOOKUP(A33,DB_TBL_DATA_FIELDS[[#All],[FIELD_ID]:[RANGE_VALIDATION_MAX]],18,FALSE)</f>
        <v>0</v>
      </c>
      <c r="F33" s="57">
        <f>VLOOKUP(A33,DB_TBL_DATA_FIELDS[[#All],[FIELD_ID]:[RANGE_VALIDATION_MAX]],19,FALSE)</f>
        <v>0</v>
      </c>
      <c r="G33" s="57" t="str">
        <f t="shared" ca="1" si="0"/>
        <v/>
      </c>
      <c r="I33" s="353"/>
      <c r="J33" s="354"/>
      <c r="K33" s="354"/>
      <c r="L33" s="354"/>
      <c r="M33" s="354"/>
      <c r="N33" s="354"/>
      <c r="O33" s="354"/>
      <c r="P33" s="354"/>
      <c r="Q33" s="354"/>
      <c r="R33" s="354"/>
      <c r="S33" s="354"/>
      <c r="T33" s="354"/>
      <c r="U33" s="354"/>
      <c r="V33" s="354"/>
      <c r="W33" s="355"/>
      <c r="X33" s="47"/>
    </row>
    <row r="34" spans="1:25" s="39" customFormat="1" ht="21.95" customHeight="1" x14ac:dyDescent="0.25">
      <c r="A34" s="64" t="s">
        <v>2518</v>
      </c>
      <c r="B34" s="101" t="str">
        <f>IF(I30&lt;&gt;"",I30,"")</f>
        <v/>
      </c>
      <c r="C34" s="57" t="str">
        <f ca="1">VLOOKUP(A34,DB_TBL_DATA_FIELDS[[FIELD_ID]:[PCT_CALC_FIELD_STATUS_CODE]],22,FALSE)</f>
        <v/>
      </c>
      <c r="D34" s="57" t="str">
        <f>IF(VLOOKUP(A34,DB_TBL_DATA_FIELDS[[FIELD_ID]:[ERROR_MESSAGE]],23,FALSE)&lt;&gt;0,VLOOKUP(A34,DB_TBL_DATA_FIELDS[[FIELD_ID]:[ERROR_MESSAGE]],23,FALSE),"")</f>
        <v/>
      </c>
      <c r="E34" s="57">
        <f>VLOOKUP(A34,DB_TBL_DATA_FIELDS[[#All],[FIELD_ID]:[RANGE_VALIDATION_MAX]],18,FALSE)</f>
        <v>1</v>
      </c>
      <c r="F34" s="57">
        <f>VLOOKUP(A34,DB_TBL_DATA_FIELDS[[#All],[FIELD_ID]:[RANGE_VALIDATION_MAX]],19,FALSE)</f>
        <v>400</v>
      </c>
      <c r="G34" s="57" t="str">
        <f t="shared" ca="1" si="0"/>
        <v/>
      </c>
      <c r="I34" s="356"/>
      <c r="J34" s="357"/>
      <c r="K34" s="357"/>
      <c r="L34" s="357"/>
      <c r="M34" s="357"/>
      <c r="N34" s="357"/>
      <c r="O34" s="357"/>
      <c r="P34" s="357"/>
      <c r="Q34" s="357"/>
      <c r="R34" s="357"/>
      <c r="S34" s="357"/>
      <c r="T34" s="357"/>
      <c r="U34" s="357"/>
      <c r="V34" s="357"/>
      <c r="W34" s="358"/>
      <c r="X34" s="47"/>
    </row>
    <row r="35" spans="1:25" s="39" customFormat="1" ht="21.95" customHeight="1" x14ac:dyDescent="0.25">
      <c r="A35" s="64" t="s">
        <v>2521</v>
      </c>
      <c r="B35" s="101" t="str">
        <f>IF(I28&lt;&gt;"",I28,"")</f>
        <v/>
      </c>
      <c r="C35" s="57" t="str">
        <f ca="1">VLOOKUP(A35,DB_TBL_DATA_FIELDS[[FIELD_ID]:[PCT_CALC_FIELD_STATUS_CODE]],22,FALSE)</f>
        <v/>
      </c>
      <c r="D35" s="57" t="str">
        <f>IF(VLOOKUP(A35,DB_TBL_DATA_FIELDS[[FIELD_ID]:[ERROR_MESSAGE]],23,FALSE)&lt;&gt;0,VLOOKUP(A35,DB_TBL_DATA_FIELDS[[FIELD_ID]:[ERROR_MESSAGE]],23,FALSE),"")</f>
        <v/>
      </c>
      <c r="E35" s="57">
        <f>VLOOKUP(A35,DB_TBL_DATA_FIELDS[[#All],[FIELD_ID]:[RANGE_VALIDATION_MAX]],18,FALSE)</f>
        <v>45000</v>
      </c>
      <c r="F35" s="57">
        <f>VLOOKUP(A35,DB_TBL_DATA_FIELDS[[#All],[FIELD_ID]:[RANGE_VALIDATION_MAX]],19,FALSE)</f>
        <v>999999</v>
      </c>
      <c r="G35" s="57" t="str">
        <f t="shared" ca="1" si="0"/>
        <v/>
      </c>
      <c r="I35" s="240"/>
      <c r="J35" s="241"/>
      <c r="K35" s="240"/>
      <c r="L35" s="241"/>
      <c r="M35" s="240"/>
      <c r="N35" s="241"/>
      <c r="O35" s="240"/>
      <c r="P35" s="241"/>
      <c r="Q35" s="240"/>
      <c r="R35" s="241"/>
      <c r="S35" s="240"/>
      <c r="T35" s="241"/>
      <c r="U35" s="240"/>
      <c r="V35" s="241"/>
      <c r="W35" s="240"/>
      <c r="X35" s="47"/>
    </row>
    <row r="36" spans="1:25" s="39" customFormat="1" ht="21.95" customHeight="1" thickBot="1" x14ac:dyDescent="0.3">
      <c r="A36" s="64" t="s">
        <v>2893</v>
      </c>
      <c r="B36" s="101" t="str">
        <f>IF(W43="","",IF(UPPER(W43)="YES",TRUE,FALSE))</f>
        <v/>
      </c>
      <c r="C36" s="57" t="str">
        <f ca="1">VLOOKUP(A36,DB_TBL_DATA_FIELDS[[FIELD_ID]:[PCT_CALC_FIELD_STATUS_CODE]],22,FALSE)</f>
        <v/>
      </c>
      <c r="D36" s="57" t="str">
        <f ca="1">IF(VLOOKUP(A36,DB_TBL_DATA_FIELDS[[FIELD_ID]:[ERROR_MESSAGE]],23,FALSE)&lt;&gt;0,VLOOKUP(A36,DB_TBL_DATA_FIELDS[[FIELD_ID]:[ERROR_MESSAGE]],23,FALSE),"")</f>
        <v/>
      </c>
      <c r="E36" s="57">
        <f>VLOOKUP(A36,DB_TBL_DATA_FIELDS[[#All],[FIELD_ID]:[RANGE_VALIDATION_MAX]],18,FALSE)</f>
        <v>0</v>
      </c>
      <c r="F36" s="57">
        <f>VLOOKUP(A36,DB_TBL_DATA_FIELDS[[#All],[FIELD_ID]:[RANGE_VALIDATION_MAX]],19,FALSE)</f>
        <v>0</v>
      </c>
      <c r="G36" s="57" t="str">
        <f t="shared" ref="G36:G45" ca="1" si="1">IF(C36&lt;0,"",C36)</f>
        <v/>
      </c>
      <c r="I36" s="67" t="s">
        <v>2899</v>
      </c>
      <c r="J36" s="140"/>
      <c r="K36" s="146"/>
      <c r="L36" s="140"/>
      <c r="M36" s="146"/>
      <c r="N36" s="140"/>
      <c r="O36" s="146"/>
      <c r="P36" s="140"/>
      <c r="Q36" s="146"/>
      <c r="R36" s="140"/>
      <c r="S36" s="146"/>
      <c r="T36" s="140"/>
      <c r="U36" s="146"/>
      <c r="V36" s="140"/>
      <c r="W36" s="146"/>
      <c r="X36" s="47"/>
    </row>
    <row r="37" spans="1:25" s="39" customFormat="1" ht="21.95" customHeight="1" thickTop="1" x14ac:dyDescent="0.25">
      <c r="A37" s="64" t="s">
        <v>2319</v>
      </c>
      <c r="B37" s="101" t="str">
        <f>IF(I48&lt;&gt;"",I48,"")</f>
        <v/>
      </c>
      <c r="C37" s="57">
        <f ca="1">VLOOKUP(A37,DB_TBL_DATA_FIELDS[[FIELD_ID]:[PCT_CALC_FIELD_STATUS_CODE]],22,FALSE)</f>
        <v>1</v>
      </c>
      <c r="D37" s="57" t="str">
        <f>IF(VLOOKUP(A37,DB_TBL_DATA_FIELDS[[FIELD_ID]:[ERROR_MESSAGE]],23,FALSE)&lt;&gt;0,VLOOKUP(A37,DB_TBL_DATA_FIELDS[[FIELD_ID]:[ERROR_MESSAGE]],23,FALSE),"")</f>
        <v/>
      </c>
      <c r="E37" s="57">
        <f>VLOOKUP(A37,DB_TBL_DATA_FIELDS[[#All],[FIELD_ID]:[RANGE_VALIDATION_MAX]],18,FALSE)</f>
        <v>0</v>
      </c>
      <c r="F37" s="57">
        <f>VLOOKUP(A37,DB_TBL_DATA_FIELDS[[#All],[FIELD_ID]:[RANGE_VALIDATION_MAX]],19,FALSE)</f>
        <v>75</v>
      </c>
      <c r="G37" s="57">
        <f t="shared" ca="1" si="1"/>
        <v>1</v>
      </c>
      <c r="J37" s="47"/>
      <c r="L37" s="47"/>
      <c r="N37" s="47"/>
      <c r="P37" s="47"/>
      <c r="R37" s="47"/>
      <c r="T37" s="47"/>
      <c r="V37" s="47"/>
      <c r="X37" s="47"/>
    </row>
    <row r="38" spans="1:25" s="39" customFormat="1" ht="21.95" customHeight="1" x14ac:dyDescent="0.25">
      <c r="A38" s="64" t="s">
        <v>2320</v>
      </c>
      <c r="B38" s="101" t="str">
        <f>IF(Q48&lt;&gt;"",Q48,"")</f>
        <v/>
      </c>
      <c r="C38" s="57">
        <f ca="1">VLOOKUP(A38,DB_TBL_DATA_FIELDS[[FIELD_ID]:[PCT_CALC_FIELD_STATUS_CODE]],22,FALSE)</f>
        <v>1</v>
      </c>
      <c r="D38" s="57" t="str">
        <f>IF(VLOOKUP(A38,DB_TBL_DATA_FIELDS[[FIELD_ID]:[ERROR_MESSAGE]],23,FALSE)&lt;&gt;0,VLOOKUP(A38,DB_TBL_DATA_FIELDS[[FIELD_ID]:[ERROR_MESSAGE]],23,FALSE),"")</f>
        <v/>
      </c>
      <c r="E38" s="57">
        <f>VLOOKUP(A38,DB_TBL_DATA_FIELDS[[#All],[FIELD_ID]:[RANGE_VALIDATION_MAX]],18,FALSE)</f>
        <v>0</v>
      </c>
      <c r="F38" s="57">
        <f>VLOOKUP(A38,DB_TBL_DATA_FIELDS[[#All],[FIELD_ID]:[RANGE_VALIDATION_MAX]],19,FALSE)</f>
        <v>30</v>
      </c>
      <c r="G38" s="57">
        <f t="shared" ca="1" si="1"/>
        <v>1</v>
      </c>
      <c r="I38" s="282" t="s">
        <v>2410</v>
      </c>
      <c r="J38" s="282"/>
      <c r="K38" s="282"/>
      <c r="L38" s="282"/>
      <c r="M38" s="282"/>
      <c r="N38" s="282"/>
      <c r="O38" s="282"/>
      <c r="P38" s="282"/>
      <c r="Q38" s="282"/>
      <c r="R38" s="282"/>
      <c r="S38" s="282"/>
      <c r="T38" s="136"/>
      <c r="U38" s="136"/>
      <c r="W38" s="43"/>
      <c r="X38" s="55" t="str">
        <f ca="1">G33</f>
        <v/>
      </c>
    </row>
    <row r="39" spans="1:25" s="39" customFormat="1" ht="21.95" customHeight="1" x14ac:dyDescent="0.25">
      <c r="A39" s="64" t="s">
        <v>2321</v>
      </c>
      <c r="B39" s="101" t="str">
        <f>IF(U48&lt;&gt;"",U48,"")</f>
        <v/>
      </c>
      <c r="C39" s="57">
        <f ca="1">VLOOKUP(A39,DB_TBL_DATA_FIELDS[[FIELD_ID]:[PCT_CALC_FIELD_STATUS_CODE]],22,FALSE)</f>
        <v>1</v>
      </c>
      <c r="D39" s="57" t="str">
        <f>IF(VLOOKUP(A39,DB_TBL_DATA_FIELDS[[FIELD_ID]:[ERROR_MESSAGE]],23,FALSE)&lt;&gt;0,VLOOKUP(A39,DB_TBL_DATA_FIELDS[[FIELD_ID]:[ERROR_MESSAGE]],23,FALSE),"")</f>
        <v/>
      </c>
      <c r="E39" s="57">
        <f>VLOOKUP(A39,DB_TBL_DATA_FIELDS[[#All],[FIELD_ID]:[RANGE_VALIDATION_MAX]],18,FALSE)</f>
        <v>0</v>
      </c>
      <c r="F39" s="57">
        <f>VLOOKUP(A39,DB_TBL_DATA_FIELDS[[#All],[FIELD_ID]:[RANGE_VALIDATION_MAX]],19,FALSE)</f>
        <v>2</v>
      </c>
      <c r="G39" s="57">
        <f t="shared" ca="1" si="1"/>
        <v>1</v>
      </c>
      <c r="I39" s="282"/>
      <c r="J39" s="282"/>
      <c r="K39" s="282"/>
      <c r="L39" s="282"/>
      <c r="M39" s="282"/>
      <c r="N39" s="282"/>
      <c r="O39" s="282"/>
      <c r="P39" s="282"/>
      <c r="Q39" s="282"/>
      <c r="R39" s="282"/>
      <c r="S39" s="282"/>
      <c r="T39" s="136"/>
      <c r="U39" s="136"/>
      <c r="V39"/>
      <c r="W39"/>
      <c r="X39"/>
    </row>
    <row r="40" spans="1:25" ht="21.95" customHeight="1" x14ac:dyDescent="0.25">
      <c r="A40" s="64" t="s">
        <v>2322</v>
      </c>
      <c r="B40" s="101" t="str">
        <f>IF(W48&lt;&gt;"",TEXT(W48,"00000"),"")</f>
        <v/>
      </c>
      <c r="C40" s="57">
        <f ca="1">VLOOKUP(A40,DB_TBL_DATA_FIELDS[[FIELD_ID]:[PCT_CALC_FIELD_STATUS_CODE]],22,FALSE)</f>
        <v>1</v>
      </c>
      <c r="D40" s="57" t="str">
        <f>IF(VLOOKUP(A40,DB_TBL_DATA_FIELDS[[FIELD_ID]:[ERROR_MESSAGE]],23,FALSE)&lt;&gt;0,VLOOKUP(A40,DB_TBL_DATA_FIELDS[[FIELD_ID]:[ERROR_MESSAGE]],23,FALSE),"")</f>
        <v/>
      </c>
      <c r="E40" s="57">
        <f>VLOOKUP(A40,DB_TBL_DATA_FIELDS[[#All],[FIELD_ID]:[RANGE_VALIDATION_MAX]],18,FALSE)</f>
        <v>5</v>
      </c>
      <c r="F40" s="57">
        <f>VLOOKUP(A40,DB_TBL_DATA_FIELDS[[#All],[FIELD_ID]:[RANGE_VALIDATION_MAX]],19,FALSE)</f>
        <v>10</v>
      </c>
      <c r="G40" s="57">
        <f t="shared" ca="1" si="1"/>
        <v>1</v>
      </c>
      <c r="H40" s="39"/>
      <c r="I40" s="239"/>
      <c r="J40" s="239"/>
      <c r="K40" s="239"/>
      <c r="L40" s="239"/>
      <c r="M40" s="239"/>
      <c r="N40" s="239"/>
      <c r="O40" s="239"/>
      <c r="P40" s="239"/>
      <c r="Q40" s="239"/>
      <c r="R40" s="239"/>
      <c r="S40" s="239"/>
      <c r="T40" s="136"/>
      <c r="U40" s="136"/>
      <c r="V40"/>
      <c r="X40"/>
      <c r="Y40" s="39"/>
    </row>
    <row r="41" spans="1:25" ht="21.95" customHeight="1" thickBot="1" x14ac:dyDescent="0.3">
      <c r="A41" s="64" t="s">
        <v>2894</v>
      </c>
      <c r="B41" s="101" t="str">
        <f>IF(I51&lt;&gt;"",I51,"")</f>
        <v/>
      </c>
      <c r="C41" s="57" t="str">
        <f ca="1">VLOOKUP(A41,DB_TBL_DATA_FIELDS[[FIELD_ID]:[PCT_CALC_FIELD_STATUS_CODE]],22,FALSE)</f>
        <v/>
      </c>
      <c r="D41" s="57" t="str">
        <f ca="1">IF(VLOOKUP(A41,DB_TBL_DATA_FIELDS[[FIELD_ID]:[ERROR_MESSAGE]],23,FALSE)&lt;&gt;0,VLOOKUP(A41,DB_TBL_DATA_FIELDS[[FIELD_ID]:[ERROR_MESSAGE]],23,FALSE),"")</f>
        <v/>
      </c>
      <c r="E41" s="57">
        <f>VLOOKUP(A41,DB_TBL_DATA_FIELDS[[#All],[FIELD_ID]:[RANGE_VALIDATION_MAX]],18,FALSE)</f>
        <v>0</v>
      </c>
      <c r="F41" s="57">
        <f>VLOOKUP(A41,DB_TBL_DATA_FIELDS[[#All],[FIELD_ID]:[RANGE_VALIDATION_MAX]],19,FALSE)</f>
        <v>0</v>
      </c>
      <c r="G41" s="57" t="str">
        <f t="shared" ca="1" si="1"/>
        <v/>
      </c>
      <c r="H41" s="39"/>
      <c r="I41" s="67" t="s">
        <v>2844</v>
      </c>
      <c r="J41" s="140"/>
      <c r="K41" s="146"/>
      <c r="L41" s="140"/>
      <c r="M41" s="146"/>
      <c r="N41" s="140"/>
      <c r="O41" s="146"/>
      <c r="P41" s="140"/>
      <c r="Q41" s="146"/>
      <c r="R41" s="140"/>
      <c r="S41" s="146"/>
      <c r="T41" s="140"/>
      <c r="U41" s="146"/>
      <c r="V41" s="140"/>
      <c r="W41" s="146"/>
      <c r="Y41" s="39"/>
    </row>
    <row r="42" spans="1:25" ht="21.95" customHeight="1" thickTop="1" x14ac:dyDescent="0.25">
      <c r="A42" s="64" t="s">
        <v>2345</v>
      </c>
      <c r="B42" s="101" t="str">
        <f>IF(O51&lt;&gt;"",O51,"")</f>
        <v/>
      </c>
      <c r="C42" s="57">
        <f ca="1">VLOOKUP(A42,DB_TBL_DATA_FIELDS[[FIELD_ID]:[PCT_CALC_FIELD_STATUS_CODE]],22,FALSE)</f>
        <v>1</v>
      </c>
      <c r="D42" s="57" t="str">
        <f>IF(VLOOKUP(A42,DB_TBL_DATA_FIELDS[[FIELD_ID]:[ERROR_MESSAGE]],23,FALSE)&lt;&gt;0,VLOOKUP(A42,DB_TBL_DATA_FIELDS[[FIELD_ID]:[ERROR_MESSAGE]],23,FALSE),"")</f>
        <v/>
      </c>
      <c r="E42" s="57">
        <f>VLOOKUP(A42,DB_TBL_DATA_FIELDS[[#All],[FIELD_ID]:[RANGE_VALIDATION_MAX]],18,FALSE)</f>
        <v>1</v>
      </c>
      <c r="F42" s="57">
        <f>VLOOKUP(A42,DB_TBL_DATA_FIELDS[[#All],[FIELD_ID]:[RANGE_VALIDATION_MAX]],19,FALSE)</f>
        <v>20</v>
      </c>
      <c r="G42" s="57">
        <f t="shared" ca="1" si="1"/>
        <v>1</v>
      </c>
      <c r="H42" s="39"/>
      <c r="I42" s="39"/>
      <c r="K42" s="39"/>
      <c r="M42" s="39"/>
      <c r="O42" s="39"/>
      <c r="Q42" s="39"/>
      <c r="S42" s="39"/>
      <c r="U42" s="39"/>
      <c r="W42" s="39"/>
      <c r="Y42" s="39"/>
    </row>
    <row r="43" spans="1:25" ht="21.95" customHeight="1" x14ac:dyDescent="0.25">
      <c r="A43" s="64" t="s">
        <v>2346</v>
      </c>
      <c r="B43" s="101" t="str">
        <f>IF(U51&lt;&gt;"",U51,"")</f>
        <v/>
      </c>
      <c r="C43" s="57">
        <f ca="1">VLOOKUP(A43,DB_TBL_DATA_FIELDS[[FIELD_ID]:[PCT_CALC_FIELD_STATUS_CODE]],22,FALSE)</f>
        <v>1</v>
      </c>
      <c r="D43" s="57" t="str">
        <f>IF(VLOOKUP(A43,DB_TBL_DATA_FIELDS[[FIELD_ID]:[ERROR_MESSAGE]],23,FALSE)&lt;&gt;0,VLOOKUP(A43,DB_TBL_DATA_FIELDS[[FIELD_ID]:[ERROR_MESSAGE]],23,FALSE),"")</f>
        <v/>
      </c>
      <c r="E43" s="57">
        <f>VLOOKUP(A43,DB_TBL_DATA_FIELDS[[#All],[FIELD_ID]:[RANGE_VALIDATION_MAX]],18,FALSE)</f>
        <v>0</v>
      </c>
      <c r="F43" s="57">
        <f>VLOOKUP(A43,DB_TBL_DATA_FIELDS[[#All],[FIELD_ID]:[RANGE_VALIDATION_MAX]],19,FALSE)</f>
        <v>999999999</v>
      </c>
      <c r="G43" s="57">
        <f t="shared" ref="G43" ca="1" si="2">IF(C43&lt;0,"",C43)</f>
        <v>1</v>
      </c>
      <c r="H43" s="39"/>
      <c r="I43" s="39" t="s">
        <v>2932</v>
      </c>
      <c r="J43" s="242"/>
      <c r="K43" s="242"/>
      <c r="L43" s="242"/>
      <c r="M43" s="242"/>
      <c r="N43" s="242"/>
      <c r="O43" s="242"/>
      <c r="P43" s="242"/>
      <c r="Q43" s="242"/>
      <c r="R43" s="242"/>
      <c r="S43" s="242"/>
      <c r="T43" s="136"/>
      <c r="U43" s="136"/>
      <c r="V43" s="39"/>
      <c r="W43" s="43"/>
      <c r="X43" s="55" t="str">
        <f ca="1">G36</f>
        <v/>
      </c>
      <c r="Y43" s="39"/>
    </row>
    <row r="44" spans="1:25" ht="21.95" customHeight="1" x14ac:dyDescent="0.25">
      <c r="A44" s="64" t="s">
        <v>2340</v>
      </c>
      <c r="B44" s="145" t="b">
        <v>0</v>
      </c>
      <c r="C44" s="57" t="str">
        <f ca="1">VLOOKUP(A44,DB_TBL_DATA_FIELDS[[FIELD_ID]:[PCT_CALC_FIELD_STATUS_CODE]],22,FALSE)</f>
        <v/>
      </c>
      <c r="D44" s="57" t="str">
        <f>IF(VLOOKUP(A44,DB_TBL_DATA_FIELDS[[FIELD_ID]:[ERROR_MESSAGE]],23,FALSE)&lt;&gt;0,VLOOKUP(A44,DB_TBL_DATA_FIELDS[[FIELD_ID]:[ERROR_MESSAGE]],23,FALSE),"")</f>
        <v/>
      </c>
      <c r="E44" s="57">
        <f>VLOOKUP(A44,DB_TBL_DATA_FIELDS[[#All],[FIELD_ID]:[RANGE_VALIDATION_MAX]],18,FALSE)</f>
        <v>0</v>
      </c>
      <c r="F44" s="57">
        <f>VLOOKUP(A44,DB_TBL_DATA_FIELDS[[#All],[FIELD_ID]:[RANGE_VALIDATION_MAX]],19,FALSE)</f>
        <v>0</v>
      </c>
      <c r="G44" s="57" t="str">
        <f t="shared" ca="1" si="1"/>
        <v/>
      </c>
      <c r="H44" s="39"/>
      <c r="I44" s="360" t="s">
        <v>2901</v>
      </c>
      <c r="J44" s="360"/>
      <c r="K44" s="360"/>
      <c r="L44" s="360"/>
      <c r="M44" s="360"/>
      <c r="N44" s="360"/>
      <c r="O44" s="360"/>
      <c r="P44" s="360"/>
      <c r="Q44" s="360"/>
      <c r="R44" s="360"/>
      <c r="S44" s="360"/>
      <c r="T44" s="360"/>
      <c r="U44" s="360"/>
      <c r="V44" s="360"/>
      <c r="W44" s="360"/>
      <c r="X44"/>
      <c r="Y44" s="39"/>
    </row>
    <row r="45" spans="1:25" ht="21.95" customHeight="1" x14ac:dyDescent="0.25">
      <c r="A45" s="64" t="s">
        <v>2342</v>
      </c>
      <c r="B45" s="68" t="str">
        <f ca="1">VLOOKUP(A45,DB_TBL_DATA_FIELDS[[#All],[FIELD_ID]:[FIELD_VALUE_RAW]],5,FALSE)</f>
        <v/>
      </c>
      <c r="C45" s="57">
        <f ca="1">VLOOKUP(A45,DB_TBL_DATA_FIELDS[[FIELD_ID]:[PCT_CALC_FIELD_STATUS_CODE]],22,FALSE)</f>
        <v>1</v>
      </c>
      <c r="D45" s="57" t="str">
        <f ca="1">IF(VLOOKUP(A45,DB_TBL_DATA_FIELDS[[FIELD_ID]:[ERROR_MESSAGE]],23,FALSE)&lt;&gt;0,VLOOKUP(A45,DB_TBL_DATA_FIELDS[[FIELD_ID]:[ERROR_MESSAGE]],23,FALSE),"")</f>
        <v/>
      </c>
      <c r="E45" s="57">
        <f>VLOOKUP(A45,DB_TBL_DATA_FIELDS[[#All],[FIELD_ID]:[RANGE_VALIDATION_MAX]],18,FALSE)</f>
        <v>0</v>
      </c>
      <c r="F45" s="57">
        <f>VLOOKUP(A45,DB_TBL_DATA_FIELDS[[#All],[FIELD_ID]:[RANGE_VALIDATION_MAX]],19,FALSE)</f>
        <v>0</v>
      </c>
      <c r="G45" s="57">
        <f t="shared" ca="1" si="1"/>
        <v>1</v>
      </c>
      <c r="H45" s="39"/>
      <c r="I45" s="360"/>
      <c r="J45" s="360"/>
      <c r="K45" s="360"/>
      <c r="L45" s="360"/>
      <c r="M45" s="360"/>
      <c r="N45" s="360"/>
      <c r="O45" s="360"/>
      <c r="P45" s="360"/>
      <c r="Q45" s="360"/>
      <c r="R45" s="360"/>
      <c r="S45" s="360"/>
      <c r="T45" s="360"/>
      <c r="U45" s="360"/>
      <c r="V45" s="360"/>
      <c r="W45" s="360"/>
      <c r="X45"/>
      <c r="Y45" s="39"/>
    </row>
    <row r="46" spans="1:25" ht="21.95" customHeight="1" x14ac:dyDescent="0.25">
      <c r="A46" s="64" t="s">
        <v>124</v>
      </c>
      <c r="B46" s="68" t="str">
        <f>"C"&amp;MATCH(LEFT(A46,LEN(A46)-LEN("_RANGE")),A:A,0)+1&amp;":C"&amp;(ROW()-1)</f>
        <v>C31:C45</v>
      </c>
      <c r="C46" s="57"/>
      <c r="D46" s="57"/>
      <c r="E46" s="57"/>
      <c r="F46" s="57"/>
      <c r="G46" s="57"/>
      <c r="H46" s="39"/>
      <c r="I46" s="244"/>
      <c r="J46" s="244"/>
      <c r="K46" s="244"/>
      <c r="L46" s="244"/>
      <c r="M46" s="244"/>
      <c r="N46" s="244"/>
      <c r="O46" s="244"/>
      <c r="P46" s="244"/>
      <c r="Q46" s="244"/>
      <c r="R46" s="244"/>
      <c r="S46" s="244"/>
      <c r="T46" s="244"/>
      <c r="U46" s="244"/>
      <c r="V46" s="244"/>
      <c r="W46" s="244"/>
      <c r="X46"/>
      <c r="Y46" s="39"/>
    </row>
    <row r="47" spans="1:25" ht="21.95" customHeight="1" x14ac:dyDescent="0.25">
      <c r="A47" s="64" t="s">
        <v>125</v>
      </c>
      <c r="B47" s="68">
        <f ca="1">COUNTIF(INDIRECT($B$46),2)</f>
        <v>0</v>
      </c>
      <c r="C47" s="57"/>
      <c r="D47" s="57"/>
      <c r="E47" s="57"/>
      <c r="F47" s="57"/>
      <c r="G47" s="57"/>
      <c r="H47" s="39"/>
      <c r="I47" s="39" t="s">
        <v>2898</v>
      </c>
      <c r="K47" s="39"/>
      <c r="M47" s="39"/>
      <c r="Q47" s="39" t="s">
        <v>51</v>
      </c>
      <c r="S47" s="39"/>
      <c r="U47" s="39" t="s">
        <v>52</v>
      </c>
      <c r="W47" s="39" t="s">
        <v>53</v>
      </c>
      <c r="Y47" s="39"/>
    </row>
    <row r="48" spans="1:25" ht="21.95" customHeight="1" x14ac:dyDescent="0.25">
      <c r="A48" s="64" t="s">
        <v>126</v>
      </c>
      <c r="B48" s="68">
        <f ca="1">COUNTIF(INDIRECT($B$46),0)+COUNTIF(INDIRECT($B$46),1)+COUNTIF(INDIRECT($B$46),2)</f>
        <v>9</v>
      </c>
      <c r="C48" s="57"/>
      <c r="D48" s="57"/>
      <c r="E48" s="57"/>
      <c r="F48" s="57"/>
      <c r="G48" s="57"/>
      <c r="H48" s="39"/>
      <c r="I48" s="290"/>
      <c r="J48" s="290"/>
      <c r="K48" s="290"/>
      <c r="L48" s="290"/>
      <c r="M48" s="290"/>
      <c r="N48" s="290"/>
      <c r="O48" s="290"/>
      <c r="P48" s="55">
        <f ca="1">G37</f>
        <v>1</v>
      </c>
      <c r="Q48" s="283"/>
      <c r="R48" s="284"/>
      <c r="S48" s="285"/>
      <c r="T48" s="55">
        <f ca="1">G38</f>
        <v>1</v>
      </c>
      <c r="U48" s="43"/>
      <c r="V48" s="55">
        <f ca="1">G39</f>
        <v>1</v>
      </c>
      <c r="W48" s="131"/>
      <c r="X48" s="55">
        <f ca="1">G40</f>
        <v>1</v>
      </c>
      <c r="Y48" s="39"/>
    </row>
    <row r="49" spans="1:25" ht="21.95" customHeight="1" x14ac:dyDescent="0.25">
      <c r="A49" s="64" t="s">
        <v>127</v>
      </c>
      <c r="B49" s="68">
        <f ca="1">COUNTIF(INDIRECT($B$46),0)</f>
        <v>0</v>
      </c>
      <c r="C49" s="57"/>
      <c r="D49" s="57"/>
      <c r="E49" s="57"/>
      <c r="F49" s="57"/>
      <c r="G49" s="57"/>
      <c r="H49" s="39"/>
      <c r="I49" s="239"/>
      <c r="J49" s="239"/>
      <c r="K49" s="239"/>
      <c r="L49" s="239"/>
      <c r="M49" s="239"/>
      <c r="N49" s="239"/>
      <c r="O49" s="239"/>
      <c r="P49" s="239"/>
      <c r="Q49" s="239"/>
      <c r="R49" s="239"/>
      <c r="S49" s="239"/>
      <c r="T49" s="136"/>
      <c r="U49" s="136"/>
      <c r="V49"/>
      <c r="X49"/>
      <c r="Y49" s="39"/>
    </row>
    <row r="50" spans="1:25" ht="21.95" customHeight="1" x14ac:dyDescent="0.25">
      <c r="A50" s="64" t="s">
        <v>128</v>
      </c>
      <c r="B50" s="103">
        <f ca="1">IFERROR(B47/B48,1.01)</f>
        <v>0</v>
      </c>
      <c r="C50" s="57"/>
      <c r="D50" s="57"/>
      <c r="E50" s="57"/>
      <c r="F50" s="57"/>
      <c r="G50" s="57"/>
      <c r="H50" s="39"/>
      <c r="I50" s="39" t="s">
        <v>2900</v>
      </c>
      <c r="M50" s="239"/>
      <c r="N50" s="239"/>
      <c r="O50" s="39" t="s">
        <v>2353</v>
      </c>
      <c r="U50" s="119" t="s">
        <v>2416</v>
      </c>
      <c r="V50" s="119"/>
      <c r="W50" s="119"/>
      <c r="X50" s="39"/>
      <c r="Y50" s="39"/>
    </row>
    <row r="51" spans="1:25" ht="21.95" customHeight="1" x14ac:dyDescent="0.25">
      <c r="A51" s="64" t="s">
        <v>129</v>
      </c>
      <c r="B51" s="68" t="str">
        <f ca="1">IF(B49&gt;0,"Data Error(s)",IF(B50=0,"Not Started",IF(B50&lt;1,ROUNDUP(B50*100,0)&amp;"% Done",IF(B50&gt;1,"Optional","Complete"))))</f>
        <v>Not Started</v>
      </c>
      <c r="C51" s="57"/>
      <c r="D51" s="57"/>
      <c r="E51" s="57"/>
      <c r="F51" s="57"/>
      <c r="G51" s="57"/>
      <c r="H51" s="39"/>
      <c r="I51" s="294"/>
      <c r="J51" s="295"/>
      <c r="K51" s="296"/>
      <c r="L51" s="55" t="str">
        <f ca="1">G41</f>
        <v/>
      </c>
      <c r="M51" s="239"/>
      <c r="N51" s="239"/>
      <c r="O51" s="335" t="str">
        <f>IF(ICW_HOUSEHOLD_SIZE&lt;&gt;"",IF(VALUE(ICW_HOUSEHOLD_SIZE)&gt;0,ICW_HOUSEHOLD_SIZE,""),"")</f>
        <v/>
      </c>
      <c r="P51" s="336"/>
      <c r="Q51" s="337"/>
      <c r="R51" s="55">
        <f ca="1">G42</f>
        <v>1</v>
      </c>
      <c r="U51" s="329" t="str">
        <f>IF(VALUE(ICW_TOTAL_INCOME)&gt;0,ICW_TOTAL_INCOME,"")</f>
        <v/>
      </c>
      <c r="V51" s="330"/>
      <c r="W51" s="331"/>
      <c r="X51" s="55">
        <f ca="1">G43</f>
        <v>1</v>
      </c>
      <c r="Y51" s="39"/>
    </row>
    <row r="52" spans="1:25" ht="21.95" customHeight="1" x14ac:dyDescent="0.25">
      <c r="A52" s="64" t="s">
        <v>130</v>
      </c>
      <c r="B52" s="68" t="str">
        <f ca="1">IF(B49&gt;0,0,IF(B50&lt;1,"",2))</f>
        <v/>
      </c>
      <c r="C52" s="57"/>
      <c r="D52" s="57"/>
      <c r="E52" s="57"/>
      <c r="F52" s="57"/>
      <c r="G52" s="57"/>
      <c r="H52" s="39"/>
      <c r="S52" s="239"/>
      <c r="T52" s="136"/>
      <c r="Y52" s="39"/>
    </row>
    <row r="53" spans="1:25" ht="21.95" customHeight="1" x14ac:dyDescent="0.25">
      <c r="A53" s="64" t="s">
        <v>131</v>
      </c>
      <c r="B53" s="102" t="s">
        <v>2525</v>
      </c>
      <c r="C53" s="57"/>
      <c r="D53" s="57"/>
      <c r="E53" s="57"/>
      <c r="F53" s="57"/>
      <c r="G53" s="57"/>
      <c r="H53" s="39"/>
      <c r="J53"/>
      <c r="L53"/>
      <c r="N53"/>
      <c r="P53"/>
      <c r="R53"/>
      <c r="T53"/>
      <c r="V53"/>
      <c r="X53"/>
      <c r="Y53" s="39"/>
    </row>
    <row r="54" spans="1:25" ht="21.95" customHeight="1" x14ac:dyDescent="0.25">
      <c r="A54" s="80" t="s">
        <v>2167</v>
      </c>
      <c r="B54" s="68">
        <v>0</v>
      </c>
      <c r="C54" s="57"/>
      <c r="D54" s="57"/>
      <c r="E54" s="57"/>
      <c r="F54" s="57"/>
      <c r="G54" s="57"/>
      <c r="H54" s="39"/>
      <c r="J54"/>
      <c r="L54"/>
      <c r="N54"/>
      <c r="P54"/>
      <c r="R54"/>
      <c r="T54"/>
      <c r="V54"/>
      <c r="X54"/>
      <c r="Y54" s="39"/>
    </row>
    <row r="55" spans="1:25" ht="21.95" customHeight="1" x14ac:dyDescent="0.25">
      <c r="A55" s="80" t="s">
        <v>2168</v>
      </c>
      <c r="B55" s="68" t="b">
        <f>(B54&gt;0)</f>
        <v>0</v>
      </c>
      <c r="C55" s="57"/>
      <c r="D55" s="57"/>
      <c r="E55" s="57"/>
      <c r="F55" s="57"/>
      <c r="G55" s="57"/>
      <c r="H55" s="39"/>
      <c r="I55" s="339" t="s">
        <v>2415</v>
      </c>
      <c r="J55" s="339"/>
      <c r="K55" s="339"/>
      <c r="L55" s="339"/>
      <c r="M55" s="339"/>
      <c r="N55" s="339"/>
      <c r="O55" s="339"/>
      <c r="P55" s="339"/>
      <c r="Q55" s="339"/>
      <c r="R55" s="339"/>
      <c r="S55" s="339"/>
      <c r="T55" s="339"/>
      <c r="U55" s="339"/>
      <c r="V55" s="339"/>
      <c r="W55" s="339"/>
      <c r="X55" s="339"/>
      <c r="Y55" s="39"/>
    </row>
    <row r="56" spans="1:25" ht="21.95" customHeight="1" x14ac:dyDescent="0.25">
      <c r="A56" s="97" t="s">
        <v>144</v>
      </c>
      <c r="B56" s="99" t="s">
        <v>2912</v>
      </c>
      <c r="C56" s="98"/>
      <c r="D56" s="98"/>
      <c r="E56" s="98"/>
      <c r="F56" s="98"/>
      <c r="G56" s="98"/>
      <c r="H56" s="245"/>
      <c r="J56"/>
      <c r="L56"/>
      <c r="M56" s="137"/>
      <c r="N56" s="138"/>
      <c r="O56" s="138"/>
      <c r="P56" s="138"/>
      <c r="Q56" s="138"/>
      <c r="R56" s="138"/>
      <c r="S56" s="139"/>
      <c r="T56" s="55">
        <f ca="1">G45</f>
        <v>1</v>
      </c>
      <c r="V56"/>
      <c r="X56"/>
      <c r="Y56" s="39"/>
    </row>
    <row r="57" spans="1:25" ht="21.95" customHeight="1" x14ac:dyDescent="0.25">
      <c r="A57" s="64" t="s">
        <v>2905</v>
      </c>
      <c r="B57" s="101" t="str">
        <f>IF(I87&lt;&gt;"",I87,"")</f>
        <v/>
      </c>
      <c r="C57" s="57">
        <f ca="1">VLOOKUP(A57,DB_TBL_DATA_FIELDS[[FIELD_ID]:[PCT_CALC_FIELD_STATUS_CODE]],22,FALSE)</f>
        <v>1</v>
      </c>
      <c r="D57" s="57" t="str">
        <f ca="1">IF(VLOOKUP(A57,DB_TBL_DATA_FIELDS[[FIELD_ID]:[ERROR_MESSAGE]],23,FALSE)&lt;&gt;0,VLOOKUP(A57,DB_TBL_DATA_FIELDS[[FIELD_ID]:[ERROR_MESSAGE]],23,FALSE),"")</f>
        <v/>
      </c>
      <c r="E57" s="57">
        <f>VLOOKUP(A57,DB_TBL_DATA_FIELDS[[#All],[FIELD_ID]:[RANGE_VALIDATION_MAX]],18,FALSE)</f>
        <v>0</v>
      </c>
      <c r="F57" s="57">
        <f>VLOOKUP(A57,DB_TBL_DATA_FIELDS[[#All],[FIELD_ID]:[RANGE_VALIDATION_MAX]],19,FALSE)</f>
        <v>100</v>
      </c>
      <c r="G57" s="57">
        <f t="shared" ref="G57:G61" ca="1" si="3">IF(C57&lt;0,"",C57)</f>
        <v>1</v>
      </c>
      <c r="H57" s="39"/>
      <c r="J57" s="174"/>
      <c r="K57" s="174"/>
      <c r="L57" s="174"/>
      <c r="M57" s="325" t="str">
        <f ca="1">D45</f>
        <v/>
      </c>
      <c r="N57" s="325"/>
      <c r="O57" s="325"/>
      <c r="P57" s="325"/>
      <c r="Q57" s="325"/>
      <c r="R57" s="325"/>
      <c r="S57" s="325"/>
      <c r="T57" s="174"/>
      <c r="U57" s="174"/>
      <c r="V57" s="174"/>
      <c r="W57" s="174"/>
      <c r="X57" s="174"/>
      <c r="Y57" s="39"/>
    </row>
    <row r="58" spans="1:25" ht="21.95" customHeight="1" x14ac:dyDescent="0.25">
      <c r="A58" s="64" t="s">
        <v>2907</v>
      </c>
      <c r="B58" s="101" t="str">
        <f>IF(O87&lt;&gt;"",O87,"")</f>
        <v/>
      </c>
      <c r="C58" s="57">
        <f ca="1">VLOOKUP(A58,DB_TBL_DATA_FIELDS[[FIELD_ID]:[PCT_CALC_FIELD_STATUS_CODE]],22,FALSE)</f>
        <v>1</v>
      </c>
      <c r="D58" s="57" t="str">
        <f ca="1">IF(VLOOKUP(A58,DB_TBL_DATA_FIELDS[[FIELD_ID]:[ERROR_MESSAGE]],23,FALSE)&lt;&gt;0,VLOOKUP(A58,DB_TBL_DATA_FIELDS[[FIELD_ID]:[ERROR_MESSAGE]],23,FALSE),"")</f>
        <v/>
      </c>
      <c r="E58" s="57">
        <f>VLOOKUP(A58,DB_TBL_DATA_FIELDS[[#All],[FIELD_ID]:[RANGE_VALIDATION_MAX]],18,FALSE)</f>
        <v>0</v>
      </c>
      <c r="F58" s="57">
        <f>VLOOKUP(A58,DB_TBL_DATA_FIELDS[[#All],[FIELD_ID]:[RANGE_VALIDATION_MAX]],19,FALSE)</f>
        <v>100</v>
      </c>
      <c r="G58" s="57">
        <f t="shared" ca="1" si="3"/>
        <v>1</v>
      </c>
      <c r="J58"/>
      <c r="L58"/>
      <c r="N58"/>
      <c r="P58"/>
      <c r="R58"/>
      <c r="T58"/>
      <c r="V58"/>
      <c r="X58"/>
    </row>
    <row r="59" spans="1:25" ht="21.95" customHeight="1" thickBot="1" x14ac:dyDescent="0.3">
      <c r="A59" s="64" t="s">
        <v>2908</v>
      </c>
      <c r="B59" s="101" t="str">
        <f>IF(U87&lt;&gt;"",U87,"")</f>
        <v/>
      </c>
      <c r="C59" s="57">
        <f ca="1">VLOOKUP(A59,DB_TBL_DATA_FIELDS[[FIELD_ID]:[PCT_CALC_FIELD_STATUS_CODE]],22,FALSE)</f>
        <v>1</v>
      </c>
      <c r="D59" s="57" t="str">
        <f ca="1">IF(VLOOKUP(A59,DB_TBL_DATA_FIELDS[[FIELD_ID]:[ERROR_MESSAGE]],23,FALSE)&lt;&gt;0,VLOOKUP(A59,DB_TBL_DATA_FIELDS[[FIELD_ID]:[ERROR_MESSAGE]],23,FALSE),"")</f>
        <v/>
      </c>
      <c r="E59" s="57">
        <f>VLOOKUP(A59,DB_TBL_DATA_FIELDS[[#All],[FIELD_ID]:[RANGE_VALIDATION_MAX]],18,FALSE)</f>
        <v>0</v>
      </c>
      <c r="F59" s="57">
        <f>VLOOKUP(A59,DB_TBL_DATA_FIELDS[[#All],[FIELD_ID]:[RANGE_VALIDATION_MAX]],19,FALSE)</f>
        <v>0</v>
      </c>
      <c r="G59" s="57">
        <f t="shared" ca="1" si="3"/>
        <v>1</v>
      </c>
      <c r="I59" s="58" t="str">
        <f>B56</f>
        <v>Member Certification</v>
      </c>
      <c r="J59" s="58"/>
      <c r="K59" s="58"/>
      <c r="L59" s="58"/>
      <c r="M59" s="58"/>
      <c r="N59" s="58"/>
      <c r="O59" s="58"/>
      <c r="P59" s="58"/>
      <c r="Q59" s="58"/>
      <c r="R59" s="58"/>
      <c r="S59" s="58"/>
      <c r="T59" s="58"/>
      <c r="U59" s="58"/>
      <c r="V59" s="58"/>
      <c r="W59" s="58"/>
      <c r="X59" s="59" t="str">
        <f ca="1">"Status: "&amp;$B$67</f>
        <v>Status: Not Started</v>
      </c>
    </row>
    <row r="60" spans="1:25" ht="21.95" customHeight="1" x14ac:dyDescent="0.25">
      <c r="A60" s="64" t="s">
        <v>2256</v>
      </c>
      <c r="B60" s="101" t="str">
        <f>IF(I89&lt;&gt;"",I89,"")</f>
        <v/>
      </c>
      <c r="C60" s="57">
        <f ca="1">VLOOKUP(A60,DB_TBL_DATA_FIELDS[[FIELD_ID]:[PCT_CALC_FIELD_STATUS_CODE]],22,FALSE)</f>
        <v>1</v>
      </c>
      <c r="D60" s="57" t="str">
        <f ca="1">IF(VLOOKUP(A60,DB_TBL_DATA_FIELDS[[FIELD_ID]:[ERROR_MESSAGE]],23,FALSE)&lt;&gt;0,VLOOKUP(A60,DB_TBL_DATA_FIELDS[[FIELD_ID]:[ERROR_MESSAGE]],23,FALSE),"")</f>
        <v/>
      </c>
      <c r="E60" s="57">
        <f>VLOOKUP(A60,DB_TBL_DATA_FIELDS[[#All],[FIELD_ID]:[RANGE_VALIDATION_MAX]],18,FALSE)</f>
        <v>0</v>
      </c>
      <c r="F60" s="57">
        <f>VLOOKUP(A60,DB_TBL_DATA_FIELDS[[#All],[FIELD_ID]:[RANGE_VALIDATION_MAX]],19,FALSE)</f>
        <v>60</v>
      </c>
      <c r="G60" s="57">
        <f t="shared" ca="1" si="3"/>
        <v>1</v>
      </c>
      <c r="J60"/>
      <c r="V60"/>
      <c r="X60"/>
    </row>
    <row r="61" spans="1:25" ht="21.95" customHeight="1" x14ac:dyDescent="0.25">
      <c r="A61" s="64" t="s">
        <v>2257</v>
      </c>
      <c r="B61" s="101" t="str">
        <f>IF(S89&lt;&gt;"",S89,"")</f>
        <v/>
      </c>
      <c r="C61" s="57">
        <f ca="1">VLOOKUP(A61,DB_TBL_DATA_FIELDS[[FIELD_ID]:[PCT_CALC_FIELD_STATUS_CODE]],22,FALSE)</f>
        <v>1</v>
      </c>
      <c r="D61" s="57" t="str">
        <f>IF(VLOOKUP(A61,DB_TBL_DATA_FIELDS[[FIELD_ID]:[ERROR_MESSAGE]],23,FALSE)&lt;&gt;0,VLOOKUP(A61,DB_TBL_DATA_FIELDS[[FIELD_ID]:[ERROR_MESSAGE]],23,FALSE),"")</f>
        <v/>
      </c>
      <c r="E61" s="57">
        <f>VLOOKUP(A61,DB_TBL_DATA_FIELDS[[#All],[FIELD_ID]:[RANGE_VALIDATION_MAX]],18,FALSE)</f>
        <v>0</v>
      </c>
      <c r="F61" s="57">
        <f>VLOOKUP(A61,DB_TBL_DATA_FIELDS[[#All],[FIELD_ID]:[RANGE_VALIDATION_MAX]],19,FALSE)</f>
        <v>50</v>
      </c>
      <c r="G61" s="57">
        <f t="shared" ca="1" si="3"/>
        <v>1</v>
      </c>
      <c r="I61" s="282" t="s">
        <v>2955</v>
      </c>
      <c r="J61" s="282"/>
      <c r="K61" s="282"/>
      <c r="L61" s="282"/>
      <c r="M61" s="282"/>
      <c r="N61" s="282"/>
      <c r="O61" s="282"/>
      <c r="P61" s="282"/>
      <c r="Q61" s="282"/>
      <c r="R61" s="282"/>
      <c r="S61" s="282"/>
      <c r="T61" s="282"/>
      <c r="U61" s="282"/>
      <c r="V61" s="282"/>
      <c r="W61" s="282"/>
      <c r="X61" s="282"/>
    </row>
    <row r="62" spans="1:25" ht="21.95" customHeight="1" x14ac:dyDescent="0.25">
      <c r="A62" s="64" t="s">
        <v>145</v>
      </c>
      <c r="B62" s="68" t="str">
        <f>"C"&amp;MATCH(LEFT(A62,LEN(A62)-LEN("_RANGE")),A:A,0)+1&amp;":C"&amp;(ROW()-1)</f>
        <v>C57:C61</v>
      </c>
      <c r="C62" s="57"/>
      <c r="D62" s="57"/>
      <c r="E62" s="57"/>
      <c r="F62" s="57"/>
      <c r="G62" s="57"/>
      <c r="I62" s="282"/>
      <c r="J62" s="282"/>
      <c r="K62" s="282"/>
      <c r="L62" s="282"/>
      <c r="M62" s="282"/>
      <c r="N62" s="282"/>
      <c r="O62" s="282"/>
      <c r="P62" s="282"/>
      <c r="Q62" s="282"/>
      <c r="R62" s="282"/>
      <c r="S62" s="282"/>
      <c r="T62" s="282"/>
      <c r="U62" s="282"/>
      <c r="V62" s="282"/>
      <c r="W62" s="282"/>
      <c r="X62" s="282"/>
    </row>
    <row r="63" spans="1:25" ht="21.95" customHeight="1" x14ac:dyDescent="0.25">
      <c r="A63" s="64" t="s">
        <v>146</v>
      </c>
      <c r="B63" s="68">
        <f ca="1">COUNTIF(INDIRECT($B62),2)</f>
        <v>0</v>
      </c>
      <c r="C63" s="57"/>
      <c r="D63" s="57"/>
      <c r="E63" s="57"/>
      <c r="F63" s="57"/>
      <c r="G63" s="57"/>
      <c r="I63" s="282"/>
      <c r="J63" s="282"/>
      <c r="K63" s="282"/>
      <c r="L63" s="282"/>
      <c r="M63" s="282"/>
      <c r="N63" s="282"/>
      <c r="O63" s="282"/>
      <c r="P63" s="282"/>
      <c r="Q63" s="282"/>
      <c r="R63" s="282"/>
      <c r="S63" s="282"/>
      <c r="T63" s="282"/>
      <c r="U63" s="282"/>
      <c r="V63" s="282"/>
      <c r="W63" s="282"/>
      <c r="X63" s="282"/>
    </row>
    <row r="64" spans="1:25" ht="21.95" customHeight="1" x14ac:dyDescent="0.25">
      <c r="A64" s="64" t="s">
        <v>147</v>
      </c>
      <c r="B64" s="68">
        <f ca="1">COUNTIF(INDIRECT($B62),0)+COUNTIF(INDIRECT($B62),1)+COUNTIF(INDIRECT($B62),2)</f>
        <v>5</v>
      </c>
      <c r="C64" s="57"/>
      <c r="D64" s="57"/>
      <c r="E64" s="57"/>
      <c r="F64" s="57"/>
      <c r="G64" s="57"/>
      <c r="I64" s="282"/>
      <c r="J64" s="282"/>
      <c r="K64" s="282"/>
      <c r="L64" s="282"/>
      <c r="M64" s="282"/>
      <c r="N64" s="282"/>
      <c r="O64" s="282"/>
      <c r="P64" s="282"/>
      <c r="Q64" s="282"/>
      <c r="R64" s="282"/>
      <c r="S64" s="282"/>
      <c r="T64" s="282"/>
      <c r="U64" s="282"/>
      <c r="V64" s="282"/>
      <c r="W64" s="282"/>
      <c r="X64" s="282"/>
    </row>
    <row r="65" spans="1:24" ht="21.95" customHeight="1" x14ac:dyDescent="0.25">
      <c r="A65" s="64" t="s">
        <v>148</v>
      </c>
      <c r="B65" s="68">
        <f ca="1">COUNTIF(INDIRECT($B62),0)</f>
        <v>0</v>
      </c>
      <c r="C65" s="57"/>
      <c r="D65" s="57"/>
      <c r="E65" s="57"/>
      <c r="F65" s="57"/>
      <c r="G65" s="57"/>
      <c r="I65" s="282"/>
      <c r="J65" s="282"/>
      <c r="K65" s="282"/>
      <c r="L65" s="282"/>
      <c r="M65" s="282"/>
      <c r="N65" s="282"/>
      <c r="O65" s="282"/>
      <c r="P65" s="282"/>
      <c r="Q65" s="282"/>
      <c r="R65" s="282"/>
      <c r="S65" s="282"/>
      <c r="T65" s="282"/>
      <c r="U65" s="282"/>
      <c r="V65" s="282"/>
      <c r="W65" s="282"/>
      <c r="X65" s="282"/>
    </row>
    <row r="66" spans="1:24" ht="21.95" customHeight="1" x14ac:dyDescent="0.25">
      <c r="A66" s="64" t="s">
        <v>149</v>
      </c>
      <c r="B66" s="103">
        <f ca="1">IFERROR(B63/B64,1.01)</f>
        <v>0</v>
      </c>
      <c r="C66" s="57"/>
      <c r="D66" s="57"/>
      <c r="E66" s="57"/>
      <c r="F66" s="57"/>
      <c r="G66" s="57"/>
      <c r="I66" s="282"/>
      <c r="J66" s="282"/>
      <c r="K66" s="282"/>
      <c r="L66" s="282"/>
      <c r="M66" s="282"/>
      <c r="N66" s="282"/>
      <c r="O66" s="282"/>
      <c r="P66" s="282"/>
      <c r="Q66" s="282"/>
      <c r="R66" s="282"/>
      <c r="S66" s="282"/>
      <c r="T66" s="282"/>
      <c r="U66" s="282"/>
      <c r="V66" s="282"/>
      <c r="W66" s="282"/>
      <c r="X66" s="282"/>
    </row>
    <row r="67" spans="1:24" ht="21.95" customHeight="1" x14ac:dyDescent="0.25">
      <c r="A67" s="64" t="s">
        <v>150</v>
      </c>
      <c r="B67" s="68" t="str">
        <f ca="1">IF(B65&gt;0,"Data Error(s)",IF(B66=0,"Not Started",IF(B66&lt;1,ROUNDUP(B66*100,0)&amp;"% Done",IF(B66&gt;1,"Optional","Complete"))))</f>
        <v>Not Started</v>
      </c>
      <c r="C67" s="57"/>
      <c r="D67" s="57"/>
      <c r="E67" s="57"/>
      <c r="F67" s="57"/>
      <c r="G67" s="57"/>
      <c r="I67" s="282"/>
      <c r="J67" s="282"/>
      <c r="K67" s="282"/>
      <c r="L67" s="282"/>
      <c r="M67" s="282"/>
      <c r="N67" s="282"/>
      <c r="O67" s="282"/>
      <c r="P67" s="282"/>
      <c r="Q67" s="282"/>
      <c r="R67" s="282"/>
      <c r="S67" s="282"/>
      <c r="T67" s="282"/>
      <c r="U67" s="282"/>
      <c r="V67" s="282"/>
      <c r="W67" s="282"/>
      <c r="X67" s="282"/>
    </row>
    <row r="68" spans="1:24" ht="21.95" customHeight="1" x14ac:dyDescent="0.25">
      <c r="A68" s="64" t="s">
        <v>151</v>
      </c>
      <c r="B68" s="68" t="str">
        <f ca="1">IF(B65&gt;0,0,IF(B66&lt;1,"",2))</f>
        <v/>
      </c>
      <c r="C68" s="57"/>
      <c r="D68" s="57"/>
      <c r="E68" s="57"/>
      <c r="F68" s="57"/>
      <c r="G68" s="57"/>
      <c r="I68" s="282"/>
      <c r="J68" s="282"/>
      <c r="K68" s="282"/>
      <c r="L68" s="282"/>
      <c r="M68" s="282"/>
      <c r="N68" s="282"/>
      <c r="O68" s="282"/>
      <c r="P68" s="282"/>
      <c r="Q68" s="282"/>
      <c r="R68" s="282"/>
      <c r="S68" s="282"/>
      <c r="T68" s="282"/>
      <c r="U68" s="282"/>
      <c r="V68" s="282"/>
      <c r="W68" s="282"/>
      <c r="X68" s="282"/>
    </row>
    <row r="69" spans="1:24" ht="21.95" customHeight="1" x14ac:dyDescent="0.25">
      <c r="A69" s="64" t="s">
        <v>152</v>
      </c>
      <c r="B69" s="102" t="s">
        <v>2912</v>
      </c>
      <c r="C69" s="57"/>
      <c r="D69" s="57"/>
      <c r="E69" s="57"/>
      <c r="F69" s="57"/>
      <c r="G69" s="57"/>
      <c r="I69" s="282"/>
      <c r="J69" s="282"/>
      <c r="K69" s="282"/>
      <c r="L69" s="282"/>
      <c r="M69" s="282"/>
      <c r="N69" s="282"/>
      <c r="O69" s="282"/>
      <c r="P69" s="282"/>
      <c r="Q69" s="282"/>
      <c r="R69" s="282"/>
      <c r="S69" s="282"/>
      <c r="T69" s="282"/>
      <c r="U69" s="282"/>
      <c r="V69" s="282"/>
      <c r="W69" s="282"/>
      <c r="X69" s="282"/>
    </row>
    <row r="70" spans="1:24" ht="21.95" customHeight="1" x14ac:dyDescent="0.25">
      <c r="A70" s="80" t="s">
        <v>2165</v>
      </c>
      <c r="B70" s="68">
        <v>0</v>
      </c>
      <c r="C70" s="57"/>
      <c r="D70" s="57"/>
      <c r="E70" s="57"/>
      <c r="F70" s="57"/>
      <c r="G70" s="57"/>
      <c r="I70" s="282"/>
      <c r="J70" s="282"/>
      <c r="K70" s="282"/>
      <c r="L70" s="282"/>
      <c r="M70" s="282"/>
      <c r="N70" s="282"/>
      <c r="O70" s="282"/>
      <c r="P70" s="282"/>
      <c r="Q70" s="282"/>
      <c r="R70" s="282"/>
      <c r="S70" s="282"/>
      <c r="T70" s="282"/>
      <c r="U70" s="282"/>
      <c r="V70" s="282"/>
      <c r="W70" s="282"/>
      <c r="X70" s="282"/>
    </row>
    <row r="71" spans="1:24" ht="21.95" customHeight="1" x14ac:dyDescent="0.25">
      <c r="A71" s="80" t="s">
        <v>2166</v>
      </c>
      <c r="B71" s="68" t="b">
        <f>(B70&gt;0)</f>
        <v>0</v>
      </c>
      <c r="C71" s="57"/>
      <c r="D71" s="57"/>
      <c r="E71" s="57"/>
      <c r="F71" s="57"/>
      <c r="G71" s="57"/>
      <c r="I71" s="282"/>
      <c r="J71" s="282"/>
      <c r="K71" s="282"/>
      <c r="L71" s="282"/>
      <c r="M71" s="282"/>
      <c r="N71" s="282"/>
      <c r="O71" s="282"/>
      <c r="P71" s="282"/>
      <c r="Q71" s="282"/>
      <c r="R71" s="282"/>
      <c r="S71" s="282"/>
      <c r="T71" s="282"/>
      <c r="U71" s="282"/>
      <c r="V71" s="282"/>
      <c r="W71" s="282"/>
      <c r="X71" s="282"/>
    </row>
    <row r="72" spans="1:24" ht="21.95" customHeight="1" x14ac:dyDescent="0.25">
      <c r="I72" s="282"/>
      <c r="J72" s="282"/>
      <c r="K72" s="282"/>
      <c r="L72" s="282"/>
      <c r="M72" s="282"/>
      <c r="N72" s="282"/>
      <c r="O72" s="282"/>
      <c r="P72" s="282"/>
      <c r="Q72" s="282"/>
      <c r="R72" s="282"/>
      <c r="S72" s="282"/>
      <c r="T72" s="282"/>
      <c r="U72" s="282"/>
      <c r="V72" s="282"/>
      <c r="W72" s="282"/>
      <c r="X72" s="282"/>
    </row>
    <row r="73" spans="1:24" ht="21.95" customHeight="1" x14ac:dyDescent="0.25">
      <c r="I73" s="282"/>
      <c r="J73" s="282"/>
      <c r="K73" s="282"/>
      <c r="L73" s="282"/>
      <c r="M73" s="282"/>
      <c r="N73" s="282"/>
      <c r="O73" s="282"/>
      <c r="P73" s="282"/>
      <c r="Q73" s="282"/>
      <c r="R73" s="282"/>
      <c r="S73" s="282"/>
      <c r="T73" s="282"/>
      <c r="U73" s="282"/>
      <c r="V73" s="282"/>
      <c r="W73" s="282"/>
      <c r="X73" s="282"/>
    </row>
    <row r="74" spans="1:24" ht="21.95" customHeight="1" x14ac:dyDescent="0.25">
      <c r="I74" s="282"/>
      <c r="J74" s="282"/>
      <c r="K74" s="282"/>
      <c r="L74" s="282"/>
      <c r="M74" s="282"/>
      <c r="N74" s="282"/>
      <c r="O74" s="282"/>
      <c r="P74" s="282"/>
      <c r="Q74" s="282"/>
      <c r="R74" s="282"/>
      <c r="S74" s="282"/>
      <c r="T74" s="282"/>
      <c r="U74" s="282"/>
      <c r="V74" s="282"/>
      <c r="W74" s="282"/>
      <c r="X74" s="282"/>
    </row>
    <row r="75" spans="1:24" ht="21.95" customHeight="1" x14ac:dyDescent="0.25">
      <c r="I75" s="282"/>
      <c r="J75" s="282"/>
      <c r="K75" s="282"/>
      <c r="L75" s="282"/>
      <c r="M75" s="282"/>
      <c r="N75" s="282"/>
      <c r="O75" s="282"/>
      <c r="P75" s="282"/>
      <c r="Q75" s="282"/>
      <c r="R75" s="282"/>
      <c r="S75" s="282"/>
      <c r="T75" s="282"/>
      <c r="U75" s="282"/>
      <c r="V75" s="282"/>
      <c r="W75" s="282"/>
      <c r="X75" s="282"/>
    </row>
    <row r="76" spans="1:24" ht="21.95" customHeight="1" x14ac:dyDescent="0.25">
      <c r="I76" s="282"/>
      <c r="J76" s="282"/>
      <c r="K76" s="282"/>
      <c r="L76" s="282"/>
      <c r="M76" s="282"/>
      <c r="N76" s="282"/>
      <c r="O76" s="282"/>
      <c r="P76" s="282"/>
      <c r="Q76" s="282"/>
      <c r="R76" s="282"/>
      <c r="S76" s="282"/>
      <c r="T76" s="282"/>
      <c r="U76" s="282"/>
      <c r="V76" s="282"/>
      <c r="W76" s="282"/>
      <c r="X76" s="282"/>
    </row>
    <row r="77" spans="1:24" ht="21.95" customHeight="1" x14ac:dyDescent="0.25">
      <c r="I77" s="282"/>
      <c r="J77" s="282"/>
      <c r="K77" s="282"/>
      <c r="L77" s="282"/>
      <c r="M77" s="282"/>
      <c r="N77" s="282"/>
      <c r="O77" s="282"/>
      <c r="P77" s="282"/>
      <c r="Q77" s="282"/>
      <c r="R77" s="282"/>
      <c r="S77" s="282"/>
      <c r="T77" s="282"/>
      <c r="U77" s="282"/>
      <c r="V77" s="282"/>
      <c r="W77" s="282"/>
      <c r="X77" s="282"/>
    </row>
    <row r="78" spans="1:24" ht="21.95" customHeight="1" x14ac:dyDescent="0.25">
      <c r="I78" s="282"/>
      <c r="J78" s="282"/>
      <c r="K78" s="282"/>
      <c r="L78" s="282"/>
      <c r="M78" s="282"/>
      <c r="N78" s="282"/>
      <c r="O78" s="282"/>
      <c r="P78" s="282"/>
      <c r="Q78" s="282"/>
      <c r="R78" s="282"/>
      <c r="S78" s="282"/>
      <c r="T78" s="282"/>
      <c r="U78" s="282"/>
      <c r="V78" s="282"/>
      <c r="W78" s="282"/>
      <c r="X78" s="282"/>
    </row>
    <row r="79" spans="1:24" ht="21.95" customHeight="1" x14ac:dyDescent="0.25">
      <c r="I79" s="282"/>
      <c r="J79" s="282"/>
      <c r="K79" s="282"/>
      <c r="L79" s="282"/>
      <c r="M79" s="282"/>
      <c r="N79" s="282"/>
      <c r="O79" s="282"/>
      <c r="P79" s="282"/>
      <c r="Q79" s="282"/>
      <c r="R79" s="282"/>
      <c r="S79" s="282"/>
      <c r="T79" s="282"/>
      <c r="U79" s="282"/>
      <c r="V79" s="282"/>
      <c r="W79" s="282"/>
      <c r="X79" s="282"/>
    </row>
    <row r="80" spans="1:24" ht="21.95" customHeight="1" x14ac:dyDescent="0.25">
      <c r="I80" s="282"/>
      <c r="J80" s="282"/>
      <c r="K80" s="282"/>
      <c r="L80" s="282"/>
      <c r="M80" s="282"/>
      <c r="N80" s="282"/>
      <c r="O80" s="282"/>
      <c r="P80" s="282"/>
      <c r="Q80" s="282"/>
      <c r="R80" s="282"/>
      <c r="S80" s="282"/>
      <c r="T80" s="282"/>
      <c r="U80" s="282"/>
      <c r="V80" s="282"/>
      <c r="W80" s="282"/>
      <c r="X80" s="282"/>
    </row>
    <row r="81" spans="8:25" ht="21.95" customHeight="1" x14ac:dyDescent="0.25">
      <c r="I81" s="282"/>
      <c r="J81" s="282"/>
      <c r="K81" s="282"/>
      <c r="L81" s="282"/>
      <c r="M81" s="282"/>
      <c r="N81" s="282"/>
      <c r="O81" s="282"/>
      <c r="P81" s="282"/>
      <c r="Q81" s="282"/>
      <c r="R81" s="282"/>
      <c r="S81" s="282"/>
      <c r="T81" s="282"/>
      <c r="U81" s="282"/>
      <c r="V81" s="282"/>
      <c r="W81" s="282"/>
      <c r="X81" s="282"/>
    </row>
    <row r="82" spans="8:25" ht="21.95" customHeight="1" x14ac:dyDescent="0.25">
      <c r="I82" s="282"/>
      <c r="J82" s="282"/>
      <c r="K82" s="282"/>
      <c r="L82" s="282"/>
      <c r="M82" s="282"/>
      <c r="N82" s="282"/>
      <c r="O82" s="282"/>
      <c r="P82" s="282"/>
      <c r="Q82" s="282"/>
      <c r="R82" s="282"/>
      <c r="S82" s="282"/>
      <c r="T82" s="282"/>
      <c r="U82" s="282"/>
      <c r="V82" s="282"/>
      <c r="W82" s="282"/>
      <c r="X82" s="282"/>
    </row>
    <row r="83" spans="8:25" ht="21.95" customHeight="1" x14ac:dyDescent="0.25">
      <c r="I83" s="282"/>
      <c r="J83" s="282"/>
      <c r="K83" s="282"/>
      <c r="L83" s="282"/>
      <c r="M83" s="282"/>
      <c r="N83" s="282"/>
      <c r="O83" s="282"/>
      <c r="P83" s="282"/>
      <c r="Q83" s="282"/>
      <c r="R83" s="282"/>
      <c r="S83" s="282"/>
      <c r="T83" s="282"/>
      <c r="U83" s="282"/>
      <c r="V83" s="282"/>
      <c r="W83" s="282"/>
      <c r="X83" s="282"/>
    </row>
    <row r="84" spans="8:25" ht="21.95" customHeight="1" x14ac:dyDescent="0.25">
      <c r="I84" s="282"/>
      <c r="J84" s="282"/>
      <c r="K84" s="282"/>
      <c r="L84" s="282"/>
      <c r="M84" s="282"/>
      <c r="N84" s="282"/>
      <c r="O84" s="282"/>
      <c r="P84" s="282"/>
      <c r="Q84" s="282"/>
      <c r="R84" s="282"/>
      <c r="S84" s="282"/>
      <c r="T84" s="282"/>
      <c r="U84" s="282"/>
      <c r="V84" s="282"/>
      <c r="W84" s="282"/>
      <c r="X84" s="282"/>
    </row>
    <row r="85" spans="8:25" ht="21.95" customHeight="1" x14ac:dyDescent="0.25">
      <c r="J85"/>
      <c r="L85"/>
      <c r="N85"/>
      <c r="P85"/>
      <c r="R85"/>
      <c r="T85"/>
      <c r="V85"/>
      <c r="X85"/>
    </row>
    <row r="86" spans="8:25" ht="21.95" customHeight="1" x14ac:dyDescent="0.25">
      <c r="I86" s="39" t="s">
        <v>2923</v>
      </c>
      <c r="K86" s="39"/>
      <c r="M86" s="39"/>
      <c r="N86" s="39"/>
      <c r="O86" s="39" t="s">
        <v>2924</v>
      </c>
      <c r="Q86" s="39"/>
      <c r="S86" s="39"/>
      <c r="T86" s="39"/>
      <c r="U86" s="39" t="s">
        <v>31</v>
      </c>
      <c r="V86" s="39"/>
      <c r="W86" s="39"/>
      <c r="X86" s="39"/>
    </row>
    <row r="87" spans="8:25" ht="21.95" customHeight="1" x14ac:dyDescent="0.25">
      <c r="I87" s="283"/>
      <c r="J87" s="284"/>
      <c r="K87" s="284"/>
      <c r="L87" s="284"/>
      <c r="M87" s="285"/>
      <c r="N87" s="55">
        <f ca="1">G57</f>
        <v>1</v>
      </c>
      <c r="O87" s="283"/>
      <c r="P87" s="284"/>
      <c r="Q87" s="284"/>
      <c r="R87" s="284"/>
      <c r="S87" s="285"/>
      <c r="T87" s="55">
        <f ca="1">G58</f>
        <v>1</v>
      </c>
      <c r="U87" s="294"/>
      <c r="V87" s="295"/>
      <c r="W87" s="296"/>
      <c r="X87" s="55">
        <f ca="1">G59</f>
        <v>1</v>
      </c>
    </row>
    <row r="88" spans="8:25" ht="21.95" customHeight="1" x14ac:dyDescent="0.25">
      <c r="I88" s="39" t="s">
        <v>135</v>
      </c>
      <c r="K88" s="39"/>
      <c r="M88" s="39"/>
      <c r="N88" s="39"/>
      <c r="O88" s="39"/>
      <c r="P88" s="39"/>
      <c r="S88" s="39" t="s">
        <v>2173</v>
      </c>
      <c r="W88" s="39"/>
    </row>
    <row r="89" spans="8:25" ht="21.95" customHeight="1" x14ac:dyDescent="0.25">
      <c r="I89" s="283"/>
      <c r="J89" s="284"/>
      <c r="K89" s="284"/>
      <c r="L89" s="284"/>
      <c r="M89" s="284"/>
      <c r="N89" s="284"/>
      <c r="O89" s="284"/>
      <c r="P89" s="284"/>
      <c r="Q89" s="285"/>
      <c r="R89" s="55">
        <f ca="1">G60</f>
        <v>1</v>
      </c>
      <c r="S89" s="326"/>
      <c r="T89" s="327"/>
      <c r="U89" s="327"/>
      <c r="V89" s="327"/>
      <c r="W89" s="328"/>
      <c r="X89" s="55">
        <f ca="1">G61</f>
        <v>1</v>
      </c>
    </row>
    <row r="90" spans="8:25" ht="21.95" customHeight="1" x14ac:dyDescent="0.25">
      <c r="I90" s="325" t="str">
        <f ca="1">D60</f>
        <v/>
      </c>
      <c r="J90" s="325"/>
      <c r="K90" s="325"/>
      <c r="L90" s="325"/>
      <c r="M90" s="325"/>
      <c r="N90" s="325"/>
      <c r="O90" s="325"/>
      <c r="P90" s="325"/>
      <c r="Q90" s="325"/>
      <c r="R90"/>
      <c r="T90"/>
      <c r="V90"/>
      <c r="X90"/>
    </row>
    <row r="91" spans="8:25" ht="21.95" customHeight="1" x14ac:dyDescent="0.25">
      <c r="J91"/>
      <c r="L91"/>
      <c r="N91"/>
      <c r="P91"/>
    </row>
    <row r="92" spans="8:25" ht="21.95" customHeight="1" x14ac:dyDescent="0.25">
      <c r="J92"/>
      <c r="L92"/>
      <c r="N92"/>
      <c r="P92"/>
      <c r="R92"/>
      <c r="T92"/>
      <c r="V92"/>
      <c r="X92"/>
    </row>
    <row r="93" spans="8:25" ht="21.95" hidden="1" customHeight="1" x14ac:dyDescent="0.25">
      <c r="J93"/>
      <c r="L93"/>
      <c r="N93"/>
      <c r="P93"/>
      <c r="R93"/>
      <c r="T93"/>
      <c r="V93"/>
      <c r="X93"/>
    </row>
    <row r="94" spans="8:25" ht="21.95" hidden="1" customHeight="1" x14ac:dyDescent="0.25">
      <c r="J94"/>
      <c r="L94"/>
      <c r="N94"/>
      <c r="P94"/>
      <c r="R94"/>
      <c r="T94"/>
      <c r="V94"/>
      <c r="X94"/>
    </row>
    <row r="95" spans="8:25" s="70" customFormat="1" ht="21.95" hidden="1" customHeight="1" x14ac:dyDescent="0.25">
      <c r="H95"/>
      <c r="I95"/>
      <c r="J95"/>
      <c r="K95"/>
      <c r="L95"/>
      <c r="M95"/>
      <c r="N95"/>
      <c r="O95"/>
      <c r="P95"/>
      <c r="Q95"/>
      <c r="R95"/>
      <c r="S95"/>
      <c r="T95"/>
      <c r="U95"/>
      <c r="V95"/>
      <c r="W95"/>
      <c r="X95"/>
      <c r="Y95"/>
    </row>
    <row r="96" spans="8:25" s="70" customFormat="1" ht="21.95" hidden="1" customHeight="1" x14ac:dyDescent="0.25">
      <c r="H96"/>
      <c r="I96"/>
      <c r="J96"/>
      <c r="K96"/>
      <c r="L96"/>
      <c r="M96"/>
      <c r="N96"/>
      <c r="O96"/>
      <c r="P96"/>
      <c r="Q96"/>
      <c r="R96"/>
      <c r="S96"/>
      <c r="T96"/>
      <c r="U96"/>
      <c r="V96"/>
      <c r="W96"/>
      <c r="X96"/>
      <c r="Y96"/>
    </row>
    <row r="97" spans="8:25" s="70" customFormat="1" ht="21.95" hidden="1" customHeight="1" x14ac:dyDescent="0.25">
      <c r="H97"/>
      <c r="I97"/>
      <c r="J97"/>
      <c r="K97"/>
      <c r="L97"/>
      <c r="M97"/>
      <c r="N97"/>
      <c r="O97"/>
      <c r="P97"/>
      <c r="Q97"/>
      <c r="R97"/>
      <c r="S97"/>
      <c r="T97"/>
      <c r="U97"/>
      <c r="V97"/>
      <c r="W97"/>
      <c r="X97"/>
      <c r="Y97"/>
    </row>
    <row r="98" spans="8:25" s="70" customFormat="1" ht="21.95" hidden="1" customHeight="1" x14ac:dyDescent="0.25">
      <c r="H98"/>
      <c r="I98"/>
      <c r="J98"/>
      <c r="K98"/>
      <c r="L98"/>
      <c r="M98"/>
      <c r="N98"/>
      <c r="O98"/>
      <c r="P98"/>
      <c r="Q98"/>
      <c r="R98"/>
      <c r="S98"/>
      <c r="T98"/>
      <c r="U98"/>
      <c r="V98"/>
      <c r="W98"/>
      <c r="X98"/>
      <c r="Y98"/>
    </row>
    <row r="99" spans="8:25" s="70" customFormat="1" ht="21.95" hidden="1" customHeight="1" x14ac:dyDescent="0.25">
      <c r="H99"/>
      <c r="I99"/>
      <c r="J99"/>
      <c r="K99"/>
      <c r="L99"/>
      <c r="M99"/>
      <c r="N99"/>
      <c r="O99"/>
      <c r="P99"/>
      <c r="Q99"/>
      <c r="R99"/>
      <c r="S99"/>
      <c r="T99"/>
      <c r="U99"/>
      <c r="V99"/>
      <c r="W99"/>
      <c r="X99"/>
      <c r="Y99"/>
    </row>
    <row r="100" spans="8:25" s="70" customFormat="1" ht="21.95" hidden="1" customHeight="1" x14ac:dyDescent="0.25">
      <c r="H100"/>
      <c r="I100"/>
      <c r="J100"/>
      <c r="K100"/>
      <c r="L100"/>
      <c r="M100"/>
      <c r="N100"/>
      <c r="O100"/>
      <c r="P100"/>
      <c r="Q100"/>
      <c r="R100"/>
      <c r="S100"/>
      <c r="T100"/>
      <c r="U100"/>
      <c r="V100"/>
      <c r="W100"/>
      <c r="X100"/>
      <c r="Y100"/>
    </row>
    <row r="101" spans="8:25" s="70" customFormat="1" ht="21.95" hidden="1" customHeight="1" x14ac:dyDescent="0.25">
      <c r="H101"/>
      <c r="I101"/>
      <c r="J101"/>
      <c r="K101"/>
      <c r="L101"/>
      <c r="M101"/>
      <c r="N101"/>
      <c r="O101"/>
      <c r="P101"/>
      <c r="Q101"/>
      <c r="R101"/>
      <c r="S101"/>
      <c r="T101"/>
      <c r="U101"/>
      <c r="V101"/>
      <c r="W101"/>
      <c r="X101"/>
      <c r="Y101"/>
    </row>
    <row r="102" spans="8:25" s="70" customFormat="1" ht="21.95" hidden="1" customHeight="1" x14ac:dyDescent="0.25">
      <c r="H102"/>
      <c r="I102"/>
      <c r="J102"/>
      <c r="K102"/>
      <c r="L102"/>
      <c r="M102"/>
      <c r="N102"/>
      <c r="O102"/>
      <c r="P102"/>
      <c r="Q102"/>
      <c r="R102"/>
      <c r="S102"/>
      <c r="T102"/>
      <c r="U102"/>
      <c r="V102"/>
      <c r="W102"/>
      <c r="X102"/>
      <c r="Y102"/>
    </row>
    <row r="103" spans="8:25" s="70" customFormat="1" ht="21.95" hidden="1" customHeight="1" x14ac:dyDescent="0.25">
      <c r="H103"/>
      <c r="I103"/>
      <c r="J103"/>
      <c r="K103"/>
      <c r="L103"/>
      <c r="M103"/>
      <c r="N103"/>
      <c r="O103"/>
      <c r="P103"/>
      <c r="Q103"/>
      <c r="R103"/>
      <c r="S103"/>
      <c r="T103"/>
      <c r="U103"/>
      <c r="V103"/>
      <c r="W103"/>
      <c r="X103"/>
      <c r="Y103"/>
    </row>
    <row r="104" spans="8:25" s="70" customFormat="1" ht="21.95" hidden="1" customHeight="1" x14ac:dyDescent="0.25">
      <c r="H104"/>
      <c r="I104"/>
      <c r="J104"/>
      <c r="K104"/>
      <c r="L104"/>
      <c r="M104"/>
      <c r="N104"/>
      <c r="O104"/>
      <c r="P104"/>
      <c r="Q104"/>
      <c r="R104"/>
      <c r="S104"/>
      <c r="T104"/>
      <c r="U104"/>
      <c r="V104"/>
      <c r="W104"/>
      <c r="X104"/>
      <c r="Y104"/>
    </row>
    <row r="105" spans="8:25" s="70" customFormat="1" ht="21.95" hidden="1" customHeight="1" x14ac:dyDescent="0.25">
      <c r="H105"/>
      <c r="I105"/>
      <c r="J105"/>
      <c r="K105"/>
      <c r="L105"/>
      <c r="M105"/>
      <c r="N105"/>
      <c r="O105"/>
      <c r="P105"/>
      <c r="Q105"/>
      <c r="R105"/>
      <c r="S105"/>
      <c r="T105"/>
      <c r="U105"/>
      <c r="V105"/>
      <c r="W105"/>
      <c r="X105"/>
      <c r="Y105"/>
    </row>
    <row r="106" spans="8:25" s="70" customFormat="1" ht="21.95" hidden="1" customHeight="1" x14ac:dyDescent="0.25">
      <c r="H106"/>
      <c r="I106"/>
      <c r="J106"/>
      <c r="K106"/>
      <c r="L106"/>
      <c r="M106"/>
      <c r="N106"/>
      <c r="O106"/>
      <c r="P106"/>
      <c r="Q106"/>
      <c r="R106"/>
      <c r="S106"/>
      <c r="T106"/>
      <c r="U106"/>
      <c r="V106"/>
      <c r="W106"/>
      <c r="X106"/>
      <c r="Y106"/>
    </row>
    <row r="107" spans="8:25" s="70" customFormat="1" ht="21.95" hidden="1" customHeight="1" x14ac:dyDescent="0.25">
      <c r="H107"/>
      <c r="I107"/>
      <c r="J107"/>
      <c r="K107"/>
      <c r="L107"/>
      <c r="M107"/>
      <c r="N107"/>
      <c r="O107"/>
      <c r="P107"/>
      <c r="Q107"/>
      <c r="R107"/>
      <c r="S107"/>
      <c r="T107"/>
      <c r="U107"/>
      <c r="V107"/>
      <c r="W107"/>
      <c r="X107"/>
      <c r="Y107"/>
    </row>
    <row r="108" spans="8:25" s="70" customFormat="1" hidden="1" x14ac:dyDescent="0.25">
      <c r="H108"/>
      <c r="I108"/>
      <c r="J108"/>
      <c r="K108"/>
      <c r="L108"/>
      <c r="M108"/>
      <c r="N108"/>
      <c r="O108"/>
      <c r="P108"/>
      <c r="Q108"/>
      <c r="R108"/>
      <c r="S108"/>
      <c r="T108"/>
      <c r="U108"/>
      <c r="V108"/>
      <c r="W108"/>
      <c r="X108"/>
      <c r="Y108"/>
    </row>
    <row r="109" spans="8:25" s="70" customFormat="1" hidden="1" x14ac:dyDescent="0.25">
      <c r="H109"/>
      <c r="I109"/>
      <c r="J109"/>
      <c r="K109"/>
      <c r="L109"/>
      <c r="M109"/>
      <c r="N109"/>
      <c r="O109"/>
      <c r="P109"/>
      <c r="Q109"/>
      <c r="R109"/>
      <c r="S109"/>
      <c r="T109"/>
      <c r="U109"/>
      <c r="V109"/>
      <c r="W109"/>
      <c r="X109"/>
      <c r="Y109"/>
    </row>
    <row r="110" spans="8:25" s="70" customFormat="1" hidden="1" x14ac:dyDescent="0.25">
      <c r="H110"/>
      <c r="I110"/>
      <c r="J110" s="47"/>
      <c r="K110"/>
      <c r="L110" s="47"/>
      <c r="M110"/>
      <c r="N110" s="47"/>
      <c r="O110"/>
      <c r="P110" s="47"/>
      <c r="Q110"/>
      <c r="R110" s="47"/>
      <c r="S110"/>
      <c r="T110" s="47"/>
      <c r="U110"/>
      <c r="V110" s="47"/>
      <c r="W110"/>
      <c r="X110" s="47"/>
      <c r="Y110"/>
    </row>
    <row r="111" spans="8:25" s="70" customFormat="1" hidden="1" x14ac:dyDescent="0.25">
      <c r="H111"/>
      <c r="I111"/>
      <c r="J111" s="47"/>
      <c r="K111"/>
      <c r="L111" s="47"/>
      <c r="M111"/>
      <c r="N111" s="47"/>
      <c r="O111"/>
      <c r="P111" s="47"/>
      <c r="Q111"/>
      <c r="R111" s="47"/>
      <c r="S111"/>
      <c r="T111" s="47"/>
      <c r="U111"/>
      <c r="V111" s="47"/>
      <c r="W111"/>
      <c r="X111" s="47"/>
      <c r="Y111"/>
    </row>
    <row r="112" spans="8:25" s="70" customFormat="1" hidden="1" x14ac:dyDescent="0.25">
      <c r="H112"/>
      <c r="I112"/>
      <c r="J112" s="47"/>
      <c r="K112"/>
      <c r="L112" s="47"/>
      <c r="M112"/>
      <c r="N112" s="47"/>
      <c r="O112"/>
      <c r="P112" s="47"/>
      <c r="Q112"/>
      <c r="R112" s="47"/>
      <c r="S112"/>
      <c r="T112" s="47"/>
      <c r="U112"/>
      <c r="V112" s="47"/>
      <c r="W112"/>
      <c r="X112" s="47"/>
      <c r="Y112"/>
    </row>
    <row r="113" spans="8:25" s="70" customFormat="1" hidden="1" x14ac:dyDescent="0.25">
      <c r="H113"/>
      <c r="I113"/>
      <c r="J113" s="47"/>
      <c r="K113"/>
      <c r="L113" s="47"/>
      <c r="M113"/>
      <c r="N113" s="47"/>
      <c r="O113"/>
      <c r="P113" s="47"/>
      <c r="Q113"/>
      <c r="R113" s="47"/>
      <c r="S113"/>
      <c r="T113" s="47"/>
      <c r="U113"/>
      <c r="V113" s="47"/>
      <c r="W113"/>
      <c r="X113" s="47"/>
      <c r="Y113"/>
    </row>
    <row r="114" spans="8:25" s="70" customFormat="1" hidden="1" x14ac:dyDescent="0.25">
      <c r="H114"/>
      <c r="I114"/>
      <c r="J114" s="47"/>
      <c r="K114"/>
      <c r="L114" s="47"/>
      <c r="M114"/>
      <c r="N114" s="47"/>
      <c r="O114"/>
      <c r="P114" s="47"/>
      <c r="Q114"/>
      <c r="R114" s="47"/>
      <c r="S114"/>
      <c r="T114" s="47"/>
      <c r="U114"/>
      <c r="V114" s="47"/>
      <c r="W114"/>
      <c r="X114" s="47"/>
      <c r="Y114"/>
    </row>
    <row r="115" spans="8:25" s="70" customFormat="1" hidden="1" x14ac:dyDescent="0.25">
      <c r="H115"/>
      <c r="I115"/>
      <c r="J115" s="47"/>
      <c r="K115"/>
      <c r="L115" s="47"/>
      <c r="M115"/>
      <c r="N115" s="47"/>
      <c r="O115"/>
      <c r="P115" s="47"/>
      <c r="Q115"/>
      <c r="R115" s="47"/>
      <c r="S115"/>
      <c r="T115" s="47"/>
      <c r="U115"/>
      <c r="V115" s="47"/>
      <c r="W115"/>
      <c r="X115" s="47"/>
      <c r="Y115"/>
    </row>
    <row r="116" spans="8:25" s="70" customFormat="1" hidden="1" x14ac:dyDescent="0.25">
      <c r="H116"/>
      <c r="I116"/>
      <c r="J116" s="47"/>
      <c r="K116"/>
      <c r="L116" s="47"/>
      <c r="M116"/>
      <c r="N116" s="47"/>
      <c r="O116"/>
      <c r="P116" s="47"/>
      <c r="Q116"/>
      <c r="R116" s="47"/>
      <c r="S116"/>
      <c r="T116" s="47"/>
      <c r="U116"/>
      <c r="V116" s="47"/>
      <c r="W116"/>
      <c r="X116" s="47"/>
      <c r="Y116"/>
    </row>
    <row r="117" spans="8:25" s="70" customFormat="1" hidden="1" x14ac:dyDescent="0.25">
      <c r="H117"/>
      <c r="I117"/>
      <c r="J117" s="47"/>
      <c r="K117"/>
      <c r="L117" s="47"/>
      <c r="M117"/>
      <c r="N117" s="47"/>
      <c r="O117"/>
      <c r="P117" s="47"/>
      <c r="Q117"/>
      <c r="R117" s="47"/>
      <c r="S117"/>
      <c r="T117" s="47"/>
      <c r="U117"/>
      <c r="V117" s="47"/>
      <c r="W117"/>
      <c r="X117" s="47"/>
      <c r="Y117"/>
    </row>
    <row r="118" spans="8:25" s="70" customFormat="1" hidden="1" x14ac:dyDescent="0.25">
      <c r="H118"/>
      <c r="I118"/>
      <c r="J118" s="47"/>
      <c r="K118"/>
      <c r="L118" s="47"/>
      <c r="M118"/>
      <c r="N118" s="47"/>
      <c r="O118"/>
      <c r="P118" s="47"/>
      <c r="Q118"/>
      <c r="R118" s="47"/>
      <c r="S118"/>
      <c r="T118" s="47"/>
      <c r="U118"/>
      <c r="V118" s="47"/>
      <c r="W118"/>
      <c r="X118" s="47"/>
      <c r="Y118"/>
    </row>
    <row r="119" spans="8:25" s="70" customFormat="1" hidden="1" x14ac:dyDescent="0.25">
      <c r="H119"/>
      <c r="I119"/>
      <c r="J119" s="47"/>
      <c r="K119"/>
      <c r="L119" s="47"/>
      <c r="M119"/>
      <c r="N119" s="47"/>
      <c r="O119"/>
      <c r="P119" s="47"/>
      <c r="Q119"/>
      <c r="R119" s="47"/>
      <c r="S119"/>
      <c r="T119" s="47"/>
      <c r="U119"/>
      <c r="V119" s="47"/>
      <c r="W119"/>
      <c r="X119" s="47"/>
      <c r="Y119"/>
    </row>
    <row r="120" spans="8:25" s="70" customFormat="1" hidden="1" x14ac:dyDescent="0.25">
      <c r="H120"/>
      <c r="I120"/>
      <c r="J120" s="47"/>
      <c r="K120"/>
      <c r="L120" s="47"/>
      <c r="M120"/>
      <c r="N120" s="47"/>
      <c r="O120"/>
      <c r="P120" s="47"/>
      <c r="Q120"/>
      <c r="R120" s="47"/>
      <c r="S120"/>
      <c r="T120" s="47"/>
      <c r="U120"/>
      <c r="V120" s="47"/>
      <c r="W120"/>
      <c r="X120" s="47"/>
      <c r="Y120"/>
    </row>
    <row r="121" spans="8:25" s="70" customFormat="1" hidden="1" x14ac:dyDescent="0.25">
      <c r="H121"/>
      <c r="I121"/>
      <c r="J121" s="47"/>
      <c r="K121"/>
      <c r="L121" s="47"/>
      <c r="M121"/>
      <c r="N121" s="47"/>
      <c r="O121"/>
      <c r="P121" s="47"/>
      <c r="Q121"/>
      <c r="R121" s="47"/>
      <c r="S121"/>
      <c r="T121" s="47"/>
      <c r="U121"/>
      <c r="V121" s="47"/>
      <c r="W121"/>
      <c r="X121" s="47"/>
      <c r="Y121"/>
    </row>
    <row r="122" spans="8:25" s="70" customFormat="1" hidden="1" x14ac:dyDescent="0.25">
      <c r="H122"/>
      <c r="I122"/>
      <c r="J122" s="47"/>
      <c r="K122"/>
      <c r="L122" s="47"/>
      <c r="M122"/>
      <c r="N122" s="47"/>
      <c r="O122"/>
      <c r="P122" s="47"/>
      <c r="Q122"/>
      <c r="R122" s="47"/>
      <c r="S122"/>
      <c r="T122" s="47"/>
      <c r="U122"/>
      <c r="V122" s="47"/>
      <c r="W122"/>
      <c r="X122" s="47"/>
      <c r="Y122"/>
    </row>
    <row r="123" spans="8:25" s="70" customFormat="1" hidden="1" x14ac:dyDescent="0.25">
      <c r="H123"/>
      <c r="I123"/>
      <c r="J123" s="47"/>
      <c r="K123"/>
      <c r="L123" s="47"/>
      <c r="M123"/>
      <c r="N123" s="47"/>
      <c r="O123"/>
      <c r="P123" s="47"/>
      <c r="Q123"/>
      <c r="R123" s="47"/>
      <c r="S123"/>
      <c r="T123" s="47"/>
      <c r="U123"/>
      <c r="V123" s="47"/>
      <c r="W123"/>
      <c r="X123" s="47"/>
      <c r="Y123"/>
    </row>
    <row r="124" spans="8:25" s="70" customFormat="1" hidden="1" x14ac:dyDescent="0.25">
      <c r="H124"/>
      <c r="I124"/>
      <c r="J124" s="47"/>
      <c r="K124"/>
      <c r="L124" s="47"/>
      <c r="M124"/>
      <c r="N124" s="47"/>
      <c r="O124"/>
      <c r="P124" s="47"/>
      <c r="Q124"/>
      <c r="R124" s="47"/>
      <c r="S124"/>
      <c r="T124" s="47"/>
      <c r="U124"/>
      <c r="V124" s="47"/>
      <c r="W124"/>
      <c r="X124" s="47"/>
      <c r="Y124"/>
    </row>
    <row r="125" spans="8:25" s="70" customFormat="1" hidden="1" x14ac:dyDescent="0.25">
      <c r="H125"/>
      <c r="I125"/>
      <c r="J125" s="47"/>
      <c r="K125"/>
      <c r="L125" s="47"/>
      <c r="M125"/>
      <c r="N125" s="47"/>
      <c r="O125"/>
      <c r="P125" s="47"/>
      <c r="Q125"/>
      <c r="R125" s="47"/>
      <c r="S125"/>
      <c r="T125" s="47"/>
      <c r="U125"/>
      <c r="V125" s="47"/>
      <c r="W125"/>
      <c r="X125" s="47"/>
      <c r="Y125"/>
    </row>
    <row r="126" spans="8:25" s="70" customFormat="1" hidden="1" x14ac:dyDescent="0.25">
      <c r="H126"/>
      <c r="I126"/>
      <c r="J126" s="47"/>
      <c r="K126"/>
      <c r="L126" s="47"/>
      <c r="M126"/>
      <c r="N126" s="47"/>
      <c r="O126"/>
      <c r="P126" s="47"/>
      <c r="Q126"/>
      <c r="R126" s="47"/>
      <c r="S126"/>
      <c r="T126" s="47"/>
      <c r="U126"/>
      <c r="V126" s="47"/>
      <c r="W126"/>
      <c r="X126" s="47"/>
      <c r="Y126"/>
    </row>
    <row r="127" spans="8:25" s="70" customFormat="1" hidden="1" x14ac:dyDescent="0.25">
      <c r="H127"/>
      <c r="I127"/>
      <c r="J127" s="47"/>
      <c r="K127"/>
      <c r="L127" s="47"/>
      <c r="M127"/>
      <c r="N127" s="47"/>
      <c r="O127"/>
      <c r="P127" s="47"/>
      <c r="Q127"/>
      <c r="R127" s="47"/>
      <c r="S127"/>
      <c r="T127" s="47"/>
      <c r="U127"/>
      <c r="V127" s="47"/>
      <c r="W127"/>
      <c r="X127" s="47"/>
      <c r="Y127"/>
    </row>
    <row r="128" spans="8:25" s="70" customFormat="1" hidden="1" x14ac:dyDescent="0.25">
      <c r="H128"/>
      <c r="I128"/>
      <c r="J128" s="47"/>
      <c r="K128"/>
      <c r="L128" s="47"/>
      <c r="M128"/>
      <c r="N128" s="47"/>
      <c r="O128"/>
      <c r="P128" s="47"/>
      <c r="Q128"/>
      <c r="R128" s="47"/>
      <c r="S128"/>
      <c r="T128" s="47"/>
      <c r="U128"/>
      <c r="V128" s="47"/>
      <c r="W128"/>
      <c r="X128" s="47"/>
      <c r="Y128"/>
    </row>
    <row r="129" spans="8:25" s="70" customFormat="1" hidden="1" x14ac:dyDescent="0.25">
      <c r="H129"/>
      <c r="I129"/>
      <c r="J129" s="47"/>
      <c r="K129"/>
      <c r="L129" s="47"/>
      <c r="M129"/>
      <c r="N129" s="47"/>
      <c r="O129"/>
      <c r="P129" s="47"/>
      <c r="Q129"/>
      <c r="R129" s="47"/>
      <c r="S129"/>
      <c r="T129" s="47"/>
      <c r="U129"/>
      <c r="V129" s="47"/>
      <c r="W129"/>
      <c r="X129" s="47"/>
      <c r="Y129"/>
    </row>
    <row r="130" spans="8:25" s="70" customFormat="1" hidden="1" x14ac:dyDescent="0.25">
      <c r="H130"/>
      <c r="I130"/>
      <c r="J130" s="47"/>
      <c r="K130"/>
      <c r="L130" s="47"/>
      <c r="M130"/>
      <c r="N130" s="47"/>
      <c r="O130"/>
      <c r="P130" s="47"/>
      <c r="Q130"/>
      <c r="R130" s="47"/>
      <c r="S130"/>
      <c r="T130" s="47"/>
      <c r="U130"/>
      <c r="V130" s="47"/>
      <c r="W130"/>
      <c r="X130" s="47"/>
      <c r="Y130"/>
    </row>
    <row r="131" spans="8:25" s="70" customFormat="1" hidden="1" x14ac:dyDescent="0.25">
      <c r="H131"/>
      <c r="I131"/>
      <c r="J131" s="47"/>
      <c r="K131"/>
      <c r="L131" s="47"/>
      <c r="M131"/>
      <c r="N131" s="47"/>
      <c r="O131"/>
      <c r="P131" s="47"/>
      <c r="Q131"/>
      <c r="R131" s="47"/>
      <c r="S131"/>
      <c r="T131" s="47"/>
      <c r="U131"/>
      <c r="V131" s="47"/>
      <c r="W131"/>
      <c r="X131" s="47"/>
      <c r="Y131"/>
    </row>
    <row r="132" spans="8:25" s="70" customFormat="1" hidden="1" x14ac:dyDescent="0.25">
      <c r="H132"/>
      <c r="I132"/>
      <c r="J132" s="47"/>
      <c r="K132"/>
      <c r="L132" s="47"/>
      <c r="M132"/>
      <c r="N132" s="47"/>
      <c r="O132"/>
      <c r="P132" s="47"/>
      <c r="Q132"/>
      <c r="R132" s="47"/>
      <c r="S132"/>
      <c r="T132" s="47"/>
      <c r="U132"/>
      <c r="V132" s="47"/>
      <c r="W132"/>
      <c r="X132" s="47"/>
      <c r="Y132"/>
    </row>
    <row r="133" spans="8:25" s="70" customFormat="1" hidden="1" x14ac:dyDescent="0.25">
      <c r="H133"/>
      <c r="I133"/>
      <c r="J133" s="47"/>
      <c r="K133"/>
      <c r="L133" s="47"/>
      <c r="M133"/>
      <c r="N133" s="47"/>
      <c r="O133"/>
      <c r="P133" s="47"/>
      <c r="Q133"/>
      <c r="R133" s="47"/>
      <c r="S133"/>
      <c r="T133" s="47"/>
      <c r="U133"/>
      <c r="V133" s="47"/>
      <c r="W133"/>
      <c r="X133" s="47"/>
      <c r="Y133"/>
    </row>
    <row r="134" spans="8:25" s="70" customFormat="1" hidden="1" x14ac:dyDescent="0.25">
      <c r="H134"/>
      <c r="I134"/>
      <c r="J134" s="47"/>
      <c r="K134"/>
      <c r="L134" s="47"/>
      <c r="M134"/>
      <c r="N134" s="47"/>
      <c r="O134"/>
      <c r="P134" s="47"/>
      <c r="Q134"/>
      <c r="R134" s="47"/>
      <c r="S134"/>
      <c r="T134" s="47"/>
      <c r="U134"/>
      <c r="V134" s="47"/>
      <c r="W134"/>
      <c r="X134" s="47"/>
      <c r="Y134"/>
    </row>
    <row r="135" spans="8:25" s="70" customFormat="1" hidden="1" x14ac:dyDescent="0.25">
      <c r="H135"/>
      <c r="I135"/>
      <c r="J135" s="47"/>
      <c r="K135"/>
      <c r="L135" s="47"/>
      <c r="M135"/>
      <c r="N135" s="47"/>
      <c r="O135"/>
      <c r="P135" s="47"/>
      <c r="Q135"/>
      <c r="R135" s="47"/>
      <c r="S135"/>
      <c r="T135" s="47"/>
      <c r="U135"/>
      <c r="V135" s="47"/>
      <c r="W135"/>
      <c r="X135" s="47"/>
      <c r="Y135"/>
    </row>
    <row r="136" spans="8:25" s="70" customFormat="1" hidden="1" x14ac:dyDescent="0.25">
      <c r="H136"/>
      <c r="I136"/>
      <c r="J136" s="47"/>
      <c r="K136"/>
      <c r="L136" s="47"/>
      <c r="M136"/>
      <c r="N136" s="47"/>
      <c r="O136"/>
      <c r="P136" s="47"/>
      <c r="Q136"/>
      <c r="R136" s="47"/>
      <c r="S136"/>
      <c r="T136" s="47"/>
      <c r="U136"/>
      <c r="V136" s="47"/>
      <c r="W136"/>
      <c r="X136" s="47"/>
      <c r="Y136"/>
    </row>
    <row r="137" spans="8:25" s="70" customFormat="1" hidden="1" x14ac:dyDescent="0.25">
      <c r="H137"/>
      <c r="I137"/>
      <c r="J137" s="47"/>
      <c r="K137"/>
      <c r="L137" s="47"/>
      <c r="M137"/>
      <c r="N137" s="47"/>
      <c r="O137"/>
      <c r="P137" s="47"/>
      <c r="Q137"/>
      <c r="R137" s="47"/>
      <c r="S137"/>
      <c r="T137" s="47"/>
      <c r="U137"/>
      <c r="V137" s="47"/>
      <c r="W137"/>
      <c r="X137" s="47"/>
      <c r="Y137"/>
    </row>
    <row r="138" spans="8:25" s="70" customFormat="1" hidden="1" x14ac:dyDescent="0.25">
      <c r="H138"/>
      <c r="I138"/>
      <c r="J138" s="47"/>
      <c r="K138"/>
      <c r="L138" s="47"/>
      <c r="M138"/>
      <c r="N138" s="47"/>
      <c r="O138"/>
      <c r="P138" s="47"/>
      <c r="Q138"/>
      <c r="R138" s="47"/>
      <c r="S138"/>
      <c r="T138" s="47"/>
      <c r="U138"/>
      <c r="V138" s="47"/>
      <c r="W138"/>
      <c r="X138" s="47"/>
      <c r="Y138"/>
    </row>
    <row r="139" spans="8:25" s="70" customFormat="1" hidden="1" x14ac:dyDescent="0.25">
      <c r="H139"/>
      <c r="I139"/>
      <c r="J139" s="47"/>
      <c r="K139"/>
      <c r="L139" s="47"/>
      <c r="M139"/>
      <c r="N139" s="47"/>
      <c r="O139"/>
      <c r="P139" s="47"/>
      <c r="Q139"/>
      <c r="R139" s="47"/>
      <c r="S139"/>
      <c r="T139" s="47"/>
      <c r="U139"/>
      <c r="V139" s="47"/>
      <c r="W139"/>
      <c r="X139" s="47"/>
      <c r="Y139"/>
    </row>
    <row r="140" spans="8:25" s="70" customFormat="1" hidden="1" x14ac:dyDescent="0.25">
      <c r="H140"/>
      <c r="I140"/>
      <c r="J140" s="47"/>
      <c r="K140"/>
      <c r="L140" s="47"/>
      <c r="M140"/>
      <c r="N140" s="47"/>
      <c r="O140"/>
      <c r="P140" s="47"/>
      <c r="Q140"/>
      <c r="R140" s="47"/>
      <c r="S140"/>
      <c r="T140" s="47"/>
      <c r="U140"/>
      <c r="V140" s="47"/>
      <c r="W140"/>
      <c r="X140" s="47"/>
      <c r="Y140"/>
    </row>
    <row r="141" spans="8:25" s="70" customFormat="1" hidden="1" x14ac:dyDescent="0.25">
      <c r="H141"/>
      <c r="I141"/>
      <c r="J141" s="47"/>
      <c r="K141"/>
      <c r="L141" s="47"/>
      <c r="M141"/>
      <c r="N141" s="47"/>
      <c r="O141"/>
      <c r="P141" s="47"/>
      <c r="Q141"/>
      <c r="R141" s="47"/>
      <c r="S141"/>
      <c r="T141" s="47"/>
      <c r="U141"/>
      <c r="V141" s="47"/>
      <c r="W141"/>
      <c r="X141" s="47"/>
      <c r="Y141"/>
    </row>
    <row r="142" spans="8:25" s="70" customFormat="1" hidden="1" x14ac:dyDescent="0.25">
      <c r="H142"/>
      <c r="I142"/>
      <c r="J142" s="47"/>
      <c r="K142"/>
      <c r="L142" s="47"/>
      <c r="M142"/>
      <c r="N142" s="47"/>
      <c r="O142"/>
      <c r="P142" s="47"/>
      <c r="Q142"/>
      <c r="R142" s="47"/>
      <c r="S142"/>
      <c r="T142" s="47"/>
      <c r="U142"/>
      <c r="V142" s="47"/>
      <c r="W142"/>
      <c r="X142" s="47"/>
      <c r="Y142"/>
    </row>
    <row r="143" spans="8:25" s="70" customFormat="1" hidden="1" x14ac:dyDescent="0.25">
      <c r="H143"/>
      <c r="I143"/>
      <c r="J143" s="47"/>
      <c r="K143"/>
      <c r="L143" s="47"/>
      <c r="M143"/>
      <c r="N143" s="47"/>
      <c r="O143"/>
      <c r="P143" s="47"/>
      <c r="Q143"/>
      <c r="R143" s="47"/>
      <c r="S143"/>
      <c r="T143" s="47"/>
      <c r="U143"/>
      <c r="V143" s="47"/>
      <c r="W143"/>
      <c r="X143" s="47"/>
      <c r="Y143"/>
    </row>
    <row r="144" spans="8:25" s="70" customFormat="1" hidden="1" x14ac:dyDescent="0.25">
      <c r="H144"/>
      <c r="I144"/>
      <c r="J144" s="47"/>
      <c r="K144"/>
      <c r="L144" s="47"/>
      <c r="M144"/>
      <c r="N144" s="47"/>
      <c r="O144"/>
      <c r="P144" s="47"/>
      <c r="Q144"/>
      <c r="R144" s="47"/>
      <c r="S144"/>
      <c r="T144" s="47"/>
      <c r="U144"/>
      <c r="V144" s="47"/>
      <c r="W144"/>
      <c r="X144" s="47"/>
      <c r="Y144"/>
    </row>
    <row r="145" spans="8:25" s="70" customFormat="1" hidden="1" x14ac:dyDescent="0.25">
      <c r="H145"/>
      <c r="I145"/>
      <c r="J145" s="47"/>
      <c r="K145"/>
      <c r="L145" s="47"/>
      <c r="M145"/>
      <c r="N145" s="47"/>
      <c r="O145"/>
      <c r="P145" s="47"/>
      <c r="Q145"/>
      <c r="R145" s="47"/>
      <c r="S145"/>
      <c r="T145" s="47"/>
      <c r="U145"/>
      <c r="V145" s="47"/>
      <c r="W145"/>
      <c r="X145" s="47"/>
      <c r="Y145"/>
    </row>
    <row r="146" spans="8:25" s="70" customFormat="1" hidden="1" x14ac:dyDescent="0.25">
      <c r="H146"/>
      <c r="I146"/>
      <c r="J146" s="47"/>
      <c r="K146"/>
      <c r="L146" s="47"/>
      <c r="M146"/>
      <c r="N146" s="47"/>
      <c r="O146"/>
      <c r="P146" s="47"/>
      <c r="Q146"/>
      <c r="R146" s="47"/>
      <c r="S146"/>
      <c r="T146" s="47"/>
      <c r="U146"/>
      <c r="V146" s="47"/>
      <c r="W146"/>
      <c r="X146" s="47"/>
      <c r="Y146"/>
    </row>
    <row r="147" spans="8:25" s="70" customFormat="1" hidden="1" x14ac:dyDescent="0.25">
      <c r="H147"/>
      <c r="I147"/>
      <c r="J147" s="47"/>
      <c r="K147"/>
      <c r="L147" s="47"/>
      <c r="M147"/>
      <c r="N147" s="47"/>
      <c r="O147"/>
      <c r="P147" s="47"/>
      <c r="Q147"/>
      <c r="R147" s="47"/>
      <c r="S147"/>
      <c r="T147" s="47"/>
      <c r="U147"/>
      <c r="V147" s="47"/>
      <c r="W147"/>
      <c r="X147" s="47"/>
      <c r="Y147"/>
    </row>
    <row r="148" spans="8:25" s="70" customFormat="1" hidden="1" x14ac:dyDescent="0.25">
      <c r="H148"/>
      <c r="I148"/>
      <c r="J148" s="47"/>
      <c r="K148"/>
      <c r="L148" s="47"/>
      <c r="M148"/>
      <c r="N148" s="47"/>
      <c r="O148"/>
      <c r="P148" s="47"/>
      <c r="Q148"/>
      <c r="R148" s="47"/>
      <c r="S148"/>
      <c r="T148" s="47"/>
      <c r="U148"/>
      <c r="V148" s="47"/>
      <c r="W148"/>
      <c r="X148" s="47"/>
      <c r="Y148"/>
    </row>
    <row r="149" spans="8:25" s="70" customFormat="1" hidden="1" x14ac:dyDescent="0.25">
      <c r="H149"/>
      <c r="I149"/>
      <c r="J149" s="47"/>
      <c r="K149"/>
      <c r="L149" s="47"/>
      <c r="M149"/>
      <c r="N149" s="47"/>
      <c r="O149"/>
      <c r="P149" s="47"/>
      <c r="Q149"/>
      <c r="R149" s="47"/>
      <c r="S149"/>
      <c r="T149" s="47"/>
      <c r="U149"/>
      <c r="V149" s="47"/>
      <c r="W149"/>
      <c r="X149" s="47"/>
      <c r="Y149"/>
    </row>
    <row r="150" spans="8:25" s="70" customFormat="1" hidden="1" x14ac:dyDescent="0.25">
      <c r="H150"/>
      <c r="I150"/>
      <c r="J150" s="47"/>
      <c r="K150"/>
      <c r="L150" s="47"/>
      <c r="M150"/>
      <c r="N150" s="47"/>
      <c r="O150"/>
      <c r="P150" s="47"/>
      <c r="Q150"/>
      <c r="R150" s="47"/>
      <c r="S150"/>
      <c r="T150" s="47"/>
      <c r="U150"/>
      <c r="V150" s="47"/>
      <c r="W150"/>
      <c r="X150" s="47"/>
      <c r="Y150"/>
    </row>
    <row r="151" spans="8:25" s="70" customFormat="1" hidden="1" x14ac:dyDescent="0.25">
      <c r="H151"/>
      <c r="I151"/>
      <c r="J151" s="47"/>
      <c r="K151"/>
      <c r="L151" s="47"/>
      <c r="M151"/>
      <c r="N151" s="47"/>
      <c r="O151"/>
      <c r="P151" s="47"/>
      <c r="Q151"/>
      <c r="R151" s="47"/>
      <c r="S151"/>
      <c r="T151" s="47"/>
      <c r="U151"/>
      <c r="V151" s="47"/>
      <c r="W151"/>
      <c r="X151" s="47"/>
      <c r="Y151"/>
    </row>
    <row r="152" spans="8:25" s="70" customFormat="1" hidden="1" x14ac:dyDescent="0.25">
      <c r="H152"/>
      <c r="I152"/>
      <c r="J152" s="47"/>
      <c r="K152"/>
      <c r="L152" s="47"/>
      <c r="M152"/>
      <c r="N152" s="47"/>
      <c r="O152"/>
      <c r="P152" s="47"/>
      <c r="Q152"/>
      <c r="R152" s="47"/>
      <c r="S152"/>
      <c r="T152" s="47"/>
      <c r="U152"/>
      <c r="V152" s="47"/>
      <c r="W152"/>
      <c r="X152" s="47"/>
      <c r="Y152"/>
    </row>
    <row r="153" spans="8:25" s="70" customFormat="1" hidden="1" x14ac:dyDescent="0.25">
      <c r="H153"/>
      <c r="I153"/>
      <c r="J153" s="47"/>
      <c r="K153"/>
      <c r="L153" s="47"/>
      <c r="M153"/>
      <c r="N153" s="47"/>
      <c r="O153"/>
      <c r="P153" s="47"/>
      <c r="Q153"/>
      <c r="R153" s="47"/>
      <c r="S153"/>
      <c r="T153" s="47"/>
      <c r="U153"/>
      <c r="V153" s="47"/>
      <c r="W153"/>
      <c r="X153" s="47"/>
      <c r="Y153"/>
    </row>
    <row r="154" spans="8:25" s="70" customFormat="1" hidden="1" x14ac:dyDescent="0.25">
      <c r="H154"/>
      <c r="I154"/>
      <c r="J154" s="47"/>
      <c r="K154"/>
      <c r="L154" s="47"/>
      <c r="M154"/>
      <c r="N154" s="47"/>
      <c r="O154"/>
      <c r="P154" s="47"/>
      <c r="Q154"/>
      <c r="R154" s="47"/>
      <c r="S154"/>
      <c r="T154" s="47"/>
      <c r="U154"/>
      <c r="V154" s="47"/>
      <c r="W154"/>
      <c r="X154" s="47"/>
      <c r="Y154"/>
    </row>
    <row r="155" spans="8:25" s="70" customFormat="1" ht="15" hidden="1" customHeight="1" x14ac:dyDescent="0.25">
      <c r="H155"/>
      <c r="I155"/>
      <c r="J155" s="47"/>
      <c r="K155"/>
      <c r="L155" s="47"/>
      <c r="M155"/>
      <c r="N155" s="47"/>
      <c r="O155"/>
      <c r="P155" s="47"/>
      <c r="Q155"/>
      <c r="R155" s="47"/>
      <c r="S155"/>
      <c r="T155" s="47"/>
      <c r="U155"/>
      <c r="V155" s="47"/>
      <c r="W155"/>
      <c r="X155" s="47"/>
      <c r="Y155"/>
    </row>
    <row r="156" spans="8:25" s="70" customFormat="1" ht="15" hidden="1" customHeight="1" x14ac:dyDescent="0.25">
      <c r="H156"/>
      <c r="I156"/>
      <c r="J156" s="47"/>
      <c r="K156"/>
      <c r="L156" s="47"/>
      <c r="M156"/>
      <c r="N156" s="47"/>
      <c r="O156"/>
      <c r="P156" s="47"/>
      <c r="Q156"/>
      <c r="R156" s="47"/>
      <c r="S156"/>
      <c r="T156" s="47"/>
      <c r="U156"/>
      <c r="V156" s="47"/>
      <c r="W156"/>
      <c r="X156" s="47"/>
      <c r="Y156"/>
    </row>
  </sheetData>
  <sheetProtection algorithmName="SHA-512" hashValue="dl1Oxgldhijhvt7rEQwmF+aXHk23hBMldi+RP2TJSGX5NdmSt+rPPyx4gpnbtnyND4pRKwqKtE4PZB41ACU6Aw==" saltValue="hiTTg2vCxkTIaopNE6/3Vg==" spinCount="100000" sheet="1" objects="1" scenarios="1" selectLockedCells="1"/>
  <dataConsolidate/>
  <mergeCells count="27">
    <mergeCell ref="I44:W45"/>
    <mergeCell ref="I55:X55"/>
    <mergeCell ref="M57:S57"/>
    <mergeCell ref="I30:W34"/>
    <mergeCell ref="O51:Q51"/>
    <mergeCell ref="U51:W51"/>
    <mergeCell ref="I6:Y6"/>
    <mergeCell ref="I9:X9"/>
    <mergeCell ref="U13:X13"/>
    <mergeCell ref="I17:M17"/>
    <mergeCell ref="Q17:U17"/>
    <mergeCell ref="I61:X84"/>
    <mergeCell ref="I90:Q90"/>
    <mergeCell ref="I18:M18"/>
    <mergeCell ref="I87:M87"/>
    <mergeCell ref="O87:S87"/>
    <mergeCell ref="U87:W87"/>
    <mergeCell ref="I89:Q89"/>
    <mergeCell ref="S89:W89"/>
    <mergeCell ref="I28:K28"/>
    <mergeCell ref="S28:W28"/>
    <mergeCell ref="M28:Q28"/>
    <mergeCell ref="I48:O48"/>
    <mergeCell ref="Q48:S48"/>
    <mergeCell ref="I38:S39"/>
    <mergeCell ref="I23:W23"/>
    <mergeCell ref="I51:K51"/>
  </mergeCells>
  <conditionalFormatting sqref="S3">
    <cfRule type="dataBar" priority="88">
      <dataBar>
        <cfvo type="num" val="0"/>
        <cfvo type="num" val="1"/>
        <color theme="6" tint="-0.249977111117893"/>
      </dataBar>
      <extLst>
        <ext xmlns:x14="http://schemas.microsoft.com/office/spreadsheetml/2009/9/main" uri="{B025F937-C7B1-47D3-B67F-A62EFF666E3E}">
          <x14:id>{B68644C8-8BDC-42B6-B636-514EB66F5249}</x14:id>
        </ext>
      </extLst>
    </cfRule>
  </conditionalFormatting>
  <conditionalFormatting sqref="R13 N13 J13">
    <cfRule type="iconSet" priority="86">
      <iconSet iconSet="3Symbols" showValue="0">
        <cfvo type="percent" val="0"/>
        <cfvo type="num" val="0" gte="0"/>
        <cfvo type="num" val="2"/>
      </iconSet>
    </cfRule>
  </conditionalFormatting>
  <conditionalFormatting sqref="H6">
    <cfRule type="iconSet" priority="81">
      <iconSet iconSet="3Flags" showValue="0">
        <cfvo type="percent" val="0"/>
        <cfvo type="num" val="1"/>
        <cfvo type="num" val="2" gte="0"/>
      </iconSet>
    </cfRule>
    <cfRule type="expression" dxfId="214" priority="82">
      <formula>($B$10=TRUE)</formula>
    </cfRule>
  </conditionalFormatting>
  <conditionalFormatting sqref="I6:Y6">
    <cfRule type="expression" dxfId="213" priority="83">
      <formula>($B$10=TRUE)</formula>
    </cfRule>
  </conditionalFormatting>
  <conditionalFormatting sqref="O17:P17">
    <cfRule type="expression" dxfId="212" priority="84">
      <formula>($P17=0)</formula>
    </cfRule>
    <cfRule type="expression" dxfId="211" priority="85">
      <formula>($P17=2)</formula>
    </cfRule>
  </conditionalFormatting>
  <conditionalFormatting sqref="W17:X18">
    <cfRule type="expression" dxfId="210" priority="78">
      <formula>($X17=0)</formula>
    </cfRule>
    <cfRule type="expression" dxfId="209" priority="79">
      <formula>($X17=2)</formula>
    </cfRule>
  </conditionalFormatting>
  <conditionalFormatting sqref="X17:X18">
    <cfRule type="iconSet" priority="80">
      <iconSet iconSet="3Symbols2" showValue="0">
        <cfvo type="percent" val="0"/>
        <cfvo type="num" val="0" gte="0"/>
        <cfvo type="num" val="1" gte="0"/>
      </iconSet>
    </cfRule>
  </conditionalFormatting>
  <conditionalFormatting sqref="N24">
    <cfRule type="iconSet" priority="91">
      <iconSet iconSet="3Symbols" showValue="0">
        <cfvo type="percent" val="0"/>
        <cfvo type="num" val="0" gte="0"/>
        <cfvo type="num" val="2"/>
      </iconSet>
    </cfRule>
  </conditionalFormatting>
  <conditionalFormatting sqref="T3">
    <cfRule type="iconSet" priority="68">
      <iconSet iconSet="3Symbols2" showValue="0">
        <cfvo type="percent" val="0"/>
        <cfvo type="num" val="0" gte="0"/>
        <cfvo type="num" val="1" gte="0"/>
      </iconSet>
    </cfRule>
  </conditionalFormatting>
  <conditionalFormatting sqref="X38">
    <cfRule type="iconSet" priority="32">
      <iconSet iconSet="3Symbols" showValue="0">
        <cfvo type="percent" val="0"/>
        <cfvo type="num" val="0" gte="0"/>
        <cfvo type="num" val="2"/>
      </iconSet>
    </cfRule>
  </conditionalFormatting>
  <conditionalFormatting sqref="L28">
    <cfRule type="iconSet" priority="31">
      <iconSet iconSet="3Symbols" showValue="0">
        <cfvo type="percent" val="0"/>
        <cfvo type="num" val="0" gte="0"/>
        <cfvo type="num" val="2"/>
      </iconSet>
    </cfRule>
  </conditionalFormatting>
  <conditionalFormatting sqref="L28">
    <cfRule type="iconSet" priority="30">
      <iconSet iconSet="3Symbols" showValue="0">
        <cfvo type="percent" val="0"/>
        <cfvo type="num" val="0" gte="0"/>
        <cfvo type="num" val="2"/>
      </iconSet>
    </cfRule>
  </conditionalFormatting>
  <conditionalFormatting sqref="X28 R28">
    <cfRule type="iconSet" priority="29">
      <iconSet iconSet="3Symbols" showValue="0">
        <cfvo type="percent" val="0"/>
        <cfvo type="num" val="0" gte="0"/>
        <cfvo type="num" val="2"/>
      </iconSet>
    </cfRule>
  </conditionalFormatting>
  <conditionalFormatting sqref="R28">
    <cfRule type="iconSet" priority="28">
      <iconSet iconSet="3Symbols" showValue="0">
        <cfvo type="percent" val="0"/>
        <cfvo type="num" val="0" gte="0"/>
        <cfvo type="num" val="2"/>
      </iconSet>
    </cfRule>
  </conditionalFormatting>
  <conditionalFormatting sqref="X28">
    <cfRule type="iconSet" priority="27">
      <iconSet iconSet="3Symbols" showValue="0">
        <cfvo type="percent" val="0"/>
        <cfvo type="num" val="0" gte="0"/>
        <cfvo type="num" val="2"/>
      </iconSet>
    </cfRule>
  </conditionalFormatting>
  <conditionalFormatting sqref="X30">
    <cfRule type="iconSet" priority="26">
      <iconSet iconSet="3Symbols" showValue="0">
        <cfvo type="percent" val="0"/>
        <cfvo type="num" val="0" gte="0"/>
        <cfvo type="num" val="2"/>
      </iconSet>
    </cfRule>
  </conditionalFormatting>
  <conditionalFormatting sqref="X30">
    <cfRule type="iconSet" priority="25">
      <iconSet iconSet="3Symbols" showValue="0">
        <cfvo type="percent" val="0"/>
        <cfvo type="num" val="0" gte="0"/>
        <cfvo type="num" val="2"/>
      </iconSet>
    </cfRule>
  </conditionalFormatting>
  <conditionalFormatting sqref="P17">
    <cfRule type="iconSet" priority="2449">
      <iconSet iconSet="3Symbols2" showValue="0">
        <cfvo type="percent" val="0"/>
        <cfvo type="num" val="0" gte="0"/>
        <cfvo type="num" val="1" gte="0"/>
      </iconSet>
    </cfRule>
  </conditionalFormatting>
  <conditionalFormatting sqref="N17 V17:V18">
    <cfRule type="iconSet" priority="2450">
      <iconSet iconSet="3Flags">
        <cfvo type="percent" val="0"/>
        <cfvo type="num" val="0" gte="0"/>
        <cfvo type="num" val="1000" gte="0"/>
      </iconSet>
    </cfRule>
  </conditionalFormatting>
  <conditionalFormatting sqref="X43">
    <cfRule type="iconSet" priority="24">
      <iconSet iconSet="3Symbols" showValue="0">
        <cfvo type="percent" val="0"/>
        <cfvo type="num" val="0" gte="0"/>
        <cfvo type="num" val="2"/>
      </iconSet>
    </cfRule>
  </conditionalFormatting>
  <conditionalFormatting sqref="P48 X48 T48 V48">
    <cfRule type="iconSet" priority="23">
      <iconSet iconSet="3Symbols" showValue="0">
        <cfvo type="percent" val="0"/>
        <cfvo type="num" val="0" gte="0"/>
        <cfvo type="num" val="2"/>
      </iconSet>
    </cfRule>
  </conditionalFormatting>
  <conditionalFormatting sqref="X51">
    <cfRule type="iconSet" priority="21">
      <iconSet iconSet="3Symbols" showValue="0">
        <cfvo type="percent" val="0"/>
        <cfvo type="num" val="0" gte="0"/>
        <cfvo type="num" val="2"/>
      </iconSet>
    </cfRule>
  </conditionalFormatting>
  <conditionalFormatting sqref="R51">
    <cfRule type="iconSet" priority="20">
      <iconSet iconSet="3Symbols" showValue="0">
        <cfvo type="percent" val="0"/>
        <cfvo type="num" val="0" gte="0"/>
        <cfvo type="num" val="2"/>
      </iconSet>
    </cfRule>
  </conditionalFormatting>
  <conditionalFormatting sqref="L51">
    <cfRule type="iconSet" priority="17">
      <iconSet iconSet="3Symbols" showValue="0">
        <cfvo type="percent" val="0"/>
        <cfvo type="num" val="0" gte="0"/>
        <cfvo type="num" val="2"/>
      </iconSet>
    </cfRule>
    <cfRule type="iconSet" priority="18">
      <iconSet iconSet="3Symbols" showValue="0">
        <cfvo type="percent" val="0"/>
        <cfvo type="num" val="0" gte="0"/>
        <cfvo type="num" val="2"/>
      </iconSet>
    </cfRule>
  </conditionalFormatting>
  <conditionalFormatting sqref="T56">
    <cfRule type="iconSet" priority="16">
      <iconSet iconSet="3Symbols" showValue="0">
        <cfvo type="percent" val="0"/>
        <cfvo type="num" val="0" gte="0"/>
        <cfvo type="num" val="2"/>
      </iconSet>
    </cfRule>
  </conditionalFormatting>
  <conditionalFormatting sqref="I48:O48 Q48 U48 W48 I51 O51 U51 M56:S56">
    <cfRule type="expression" dxfId="208" priority="15">
      <formula>DATA_ADL_ICW_FLAG&lt;&gt;TRUE</formula>
    </cfRule>
  </conditionalFormatting>
  <conditionalFormatting sqref="M57">
    <cfRule type="notContainsBlanks" dxfId="207" priority="14">
      <formula>LEN(TRIM(M57))&gt;0</formula>
    </cfRule>
  </conditionalFormatting>
  <conditionalFormatting sqref="X23">
    <cfRule type="iconSet" priority="2462">
      <iconSet iconSet="3Symbols" showValue="0">
        <cfvo type="percent" val="0"/>
        <cfvo type="num" val="0" gte="0"/>
        <cfvo type="num" val="2"/>
      </iconSet>
    </cfRule>
  </conditionalFormatting>
  <conditionalFormatting sqref="X24">
    <cfRule type="iconSet" priority="2463">
      <iconSet iconSet="3Symbols" showValue="0">
        <cfvo type="percent" val="0"/>
        <cfvo type="num" val="0" gte="0"/>
        <cfvo type="num" val="2"/>
      </iconSet>
    </cfRule>
  </conditionalFormatting>
  <conditionalFormatting sqref="R89 X89 N87">
    <cfRule type="iconSet" priority="12">
      <iconSet iconSet="3Symbols" showValue="0">
        <cfvo type="percent" val="0"/>
        <cfvo type="num" val="0" gte="0"/>
        <cfvo type="num" val="2"/>
      </iconSet>
    </cfRule>
  </conditionalFormatting>
  <conditionalFormatting sqref="N87">
    <cfRule type="iconSet" priority="11">
      <iconSet iconSet="3Symbols" showValue="0">
        <cfvo type="percent" val="0"/>
        <cfvo type="num" val="0" gte="0"/>
        <cfvo type="num" val="2"/>
      </iconSet>
    </cfRule>
  </conditionalFormatting>
  <conditionalFormatting sqref="X89">
    <cfRule type="iconSet" priority="10">
      <iconSet iconSet="3Symbols" showValue="0">
        <cfvo type="percent" val="0"/>
        <cfvo type="num" val="0" gte="0"/>
        <cfvo type="num" val="2"/>
      </iconSet>
    </cfRule>
  </conditionalFormatting>
  <conditionalFormatting sqref="I90">
    <cfRule type="notContainsBlanks" dxfId="206" priority="9">
      <formula>LEN(TRIM(I90))&gt;0</formula>
    </cfRule>
  </conditionalFormatting>
  <conditionalFormatting sqref="R89">
    <cfRule type="iconSet" priority="13">
      <iconSet iconSet="3Symbols" showValue="0">
        <cfvo type="percent" val="0"/>
        <cfvo type="num" val="0" gte="0"/>
        <cfvo type="num" val="2"/>
      </iconSet>
    </cfRule>
  </conditionalFormatting>
  <conditionalFormatting sqref="T87">
    <cfRule type="iconSet" priority="8">
      <iconSet iconSet="3Symbols" showValue="0">
        <cfvo type="percent" val="0"/>
        <cfvo type="num" val="0" gte="0"/>
        <cfvo type="num" val="2"/>
      </iconSet>
    </cfRule>
  </conditionalFormatting>
  <conditionalFormatting sqref="T87">
    <cfRule type="iconSet" priority="7">
      <iconSet iconSet="3Symbols" showValue="0">
        <cfvo type="percent" val="0"/>
        <cfvo type="num" val="0" gte="0"/>
        <cfvo type="num" val="2"/>
      </iconSet>
    </cfRule>
  </conditionalFormatting>
  <conditionalFormatting sqref="X87">
    <cfRule type="iconSet" priority="5">
      <iconSet iconSet="3Symbols" showValue="0">
        <cfvo type="percent" val="0"/>
        <cfvo type="num" val="0" gte="0"/>
        <cfvo type="num" val="2"/>
      </iconSet>
    </cfRule>
  </conditionalFormatting>
  <conditionalFormatting sqref="X87">
    <cfRule type="iconSet" priority="6">
      <iconSet iconSet="3Symbols" showValue="0">
        <cfvo type="percent" val="0"/>
        <cfvo type="num" val="0" gte="0"/>
        <cfvo type="num" val="2"/>
      </iconSet>
    </cfRule>
  </conditionalFormatting>
  <conditionalFormatting sqref="O18:P18">
    <cfRule type="expression" dxfId="205" priority="1">
      <formula>($P18=0)</formula>
    </cfRule>
    <cfRule type="expression" dxfId="204" priority="2">
      <formula>($P18=2)</formula>
    </cfRule>
  </conditionalFormatting>
  <conditionalFormatting sqref="P18">
    <cfRule type="iconSet" priority="3">
      <iconSet iconSet="3Symbols2" showValue="0">
        <cfvo type="percent" val="0"/>
        <cfvo type="num" val="0" gte="0"/>
        <cfvo type="num" val="1" gte="0"/>
      </iconSet>
    </cfRule>
  </conditionalFormatting>
  <conditionalFormatting sqref="N18">
    <cfRule type="iconSet" priority="4">
      <iconSet iconSet="3Flags">
        <cfvo type="percent" val="0"/>
        <cfvo type="num" val="0" gte="0"/>
        <cfvo type="num" val="1000" gte="0"/>
      </iconSet>
    </cfRule>
  </conditionalFormatting>
  <dataValidations count="16">
    <dataValidation type="custom" showInputMessage="1" showErrorMessage="1" errorTitle="No Data Entry" error="Field is Read-Only" sqref="H15" xr:uid="{00000000-0002-0000-0300-000000000000}">
      <formula1>"&lt;0&gt;0"</formula1>
    </dataValidation>
    <dataValidation type="list" allowBlank="1" showInputMessage="1" showErrorMessage="1" error="Select 'Yes' or 'No'" sqref="W38 W43" xr:uid="{00000000-0002-0000-0300-000001000000}">
      <formula1>RANGE_LOOKUP_YESNO</formula1>
    </dataValidation>
    <dataValidation type="textLength" allowBlank="1" showInputMessage="1" showErrorMessage="1" error="Maximum Number of Characters Exceeded" sqref="I23" xr:uid="{00000000-0002-0000-0300-000002000000}">
      <formula1>E19</formula1>
      <formula2>F19</formula2>
    </dataValidation>
    <dataValidation type="list" allowBlank="1" showInputMessage="1" showErrorMessage="1" error="An invalid State has been specified" sqref="U48" xr:uid="{00000000-0002-0000-0300-000003000000}">
      <formula1>RANGE_LOOKUP_STATE</formula1>
    </dataValidation>
    <dataValidation type="whole" allowBlank="1" showInputMessage="1" showErrorMessage="1" error="Invalid Zip Code Entered" sqref="W48" xr:uid="{00000000-0002-0000-0300-000004000000}">
      <formula1>1</formula1>
      <formula2>99999</formula2>
    </dataValidation>
    <dataValidation type="date" operator="greaterThanOrEqual" allowBlank="1" showInputMessage="1" showErrorMessage="1" sqref="I51:K51" xr:uid="{00000000-0002-0000-0300-000005000000}">
      <formula1>43466</formula1>
    </dataValidation>
    <dataValidation type="date" operator="greaterThanOrEqual" allowBlank="1" showErrorMessage="1" sqref="U87:W87" xr:uid="{00000000-0002-0000-0300-000006000000}">
      <formula1>43466</formula1>
    </dataValidation>
    <dataValidation type="whole" allowBlank="1" showInputMessage="1" showErrorMessage="1" error="Invalid Household ID Entered" sqref="I28:K28" xr:uid="{00000000-0002-0000-0300-000007000000}">
      <formula1>E35</formula1>
      <formula2>F35</formula2>
    </dataValidation>
    <dataValidation type="textLength" allowBlank="1" showInputMessage="1" showErrorMessage="1" error="Maximum Number of Characters Exceeded" sqref="I48:O48" xr:uid="{00000000-0002-0000-0300-000008000000}">
      <formula1>E37</formula1>
      <formula2>F37</formula2>
    </dataValidation>
    <dataValidation type="textLength" allowBlank="1" showInputMessage="1" showErrorMessage="1" error="Maximum Number of Characters Exceeded" sqref="Q48:S48" xr:uid="{00000000-0002-0000-0300-000009000000}">
      <formula1>E38</formula1>
      <formula2>F38</formula2>
    </dataValidation>
    <dataValidation type="textLength" allowBlank="1" showInputMessage="1" showErrorMessage="1" error="Maximum Number of Characters Exceeded" sqref="I87:M87" xr:uid="{00000000-0002-0000-0300-00000A000000}">
      <formula1>E57</formula1>
      <formula2>F57</formula2>
    </dataValidation>
    <dataValidation type="textLength" allowBlank="1" showInputMessage="1" showErrorMessage="1" error="Maximum Number of Characters Exceeded" sqref="I89:Q89" xr:uid="{00000000-0002-0000-0300-00000B000000}">
      <formula1>E60</formula1>
      <formula2>F60</formula2>
    </dataValidation>
    <dataValidation type="textLength" allowBlank="1" showInputMessage="1" showErrorMessage="1" error="Maximum Number of Characters Exceeded" sqref="O87:S87" xr:uid="{00000000-0002-0000-0300-00000C000000}">
      <formula1>E58</formula1>
      <formula2>F58</formula2>
    </dataValidation>
    <dataValidation type="textLength" allowBlank="1" showInputMessage="1" showErrorMessage="1" error="Invalid Phone Number Entered" sqref="S89:W89" xr:uid="{00000000-0002-0000-0300-00000D000000}">
      <formula1>E61</formula1>
      <formula2>F61</formula2>
    </dataValidation>
    <dataValidation type="textLength" allowBlank="1" showInputMessage="1" showErrorMessage="1" error="Maximum Number of Characters Exceeded" sqref="M28:Q28" xr:uid="{00000000-0002-0000-0300-00000E000000}">
      <formula1>E31</formula1>
      <formula2>F31</formula2>
    </dataValidation>
    <dataValidation type="textLength" allowBlank="1" showInputMessage="1" showErrorMessage="1" error="Maximum Number of Characters Exceeded" sqref="S28:W28" xr:uid="{00000000-0002-0000-0300-00000F000000}">
      <formula1>E32</formula1>
      <formula2>F32</formula2>
    </dataValidation>
  </dataValidations>
  <pageMargins left="0.25" right="0.25" top="0.5" bottom="0.5" header="0.3" footer="0.3"/>
  <pageSetup scale="90" fitToHeight="0" orientation="portrait" r:id="rId1"/>
  <headerFooter>
    <oddFooter>&amp;R&amp;8&amp;P of &amp;N</oddFooter>
  </headerFooter>
  <rowBreaks count="2" manualBreakCount="2">
    <brk id="35" min="7" max="24" man="1"/>
    <brk id="58" min="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ICW_COMPLETE_FLAG">
              <controlPr defaultSize="0" autoFill="0" autoLine="0" autoPict="0">
                <anchor moveWithCells="1">
                  <from>
                    <xdr:col>12</xdr:col>
                    <xdr:colOff>190500</xdr:colOff>
                    <xdr:row>55</xdr:row>
                    <xdr:rowOff>19050</xdr:rowOff>
                  </from>
                  <to>
                    <xdr:col>18</xdr:col>
                    <xdr:colOff>552450</xdr:colOff>
                    <xdr:row>55</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B68644C8-8BDC-42B6-B636-514EB66F5249}">
            <x14:dataBar direction="leftToRight" axisPosition="none">
              <x14:cfvo type="num">
                <xm:f>0</xm:f>
              </x14:cfvo>
              <x14:cfvo type="num">
                <xm:f>1</xm:f>
              </x14:cfvo>
              <x14:negativeFillColor theme="5"/>
            </x14:dataBar>
          </x14:cfRule>
          <xm:sqref>S3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161"/>
  <sheetViews>
    <sheetView showGridLines="0" showRowColHeaders="0" topLeftCell="C1" zoomScaleNormal="100" zoomScaleSheetLayoutView="100" workbookViewId="0">
      <pane ySplit="14" topLeftCell="A15" activePane="bottomLeft" state="frozen"/>
      <selection pane="bottomLeft" activeCell="C15" sqref="C15"/>
    </sheetView>
  </sheetViews>
  <sheetFormatPr defaultColWidth="0" defaultRowHeight="15" zeroHeight="1" x14ac:dyDescent="0.25"/>
  <cols>
    <col min="1" max="1" width="23" hidden="1" customWidth="1"/>
    <col min="2" max="2" width="48" hidden="1" customWidth="1"/>
    <col min="3" max="3" width="1.42578125" customWidth="1"/>
    <col min="4" max="4" width="19.85546875" customWidth="1"/>
    <col min="5" max="5" width="19.42578125" customWidth="1"/>
    <col min="6" max="6" width="13" customWidth="1"/>
    <col min="7" max="7" width="17.42578125" customWidth="1"/>
    <col min="8" max="8" width="13.7109375" customWidth="1"/>
    <col min="9" max="9" width="13.42578125" customWidth="1"/>
    <col min="10" max="10" width="16.28515625" customWidth="1"/>
    <col min="11" max="11" width="14.7109375" customWidth="1"/>
    <col min="12" max="12" width="15.5703125" customWidth="1"/>
    <col min="13" max="13" width="15.7109375" customWidth="1"/>
    <col min="14" max="14" width="1.42578125" customWidth="1"/>
    <col min="15" max="16384" width="10.7109375" hidden="1"/>
  </cols>
  <sheetData>
    <row r="1" spans="1:17" ht="11.1" customHeight="1" x14ac:dyDescent="0.25"/>
    <row r="2" spans="1:17" ht="24.95" customHeight="1" x14ac:dyDescent="0.25">
      <c r="A2" s="46" t="s">
        <v>182</v>
      </c>
      <c r="B2" s="46" t="s">
        <v>181</v>
      </c>
      <c r="K2" s="400" t="str">
        <f>HYPERLINK("#"&amp;$B$4,$B$5)</f>
        <v>Return to New Household Reservation Request</v>
      </c>
      <c r="L2" s="400"/>
      <c r="M2" s="400"/>
    </row>
    <row r="3" spans="1:17" ht="11.1" customHeight="1" x14ac:dyDescent="0.25"/>
    <row r="4" spans="1:17" ht="21.75" customHeight="1" x14ac:dyDescent="0.25">
      <c r="A4" t="s">
        <v>2902</v>
      </c>
      <c r="B4" t="str">
        <f>"TARGET_" &amp;WELCOME_SELECTION_EFORM_TYPE&amp;"_ICW_BOOKMARK"</f>
        <v>TARGET_RES_ICW_BOOKMARK</v>
      </c>
      <c r="C4" s="223"/>
      <c r="D4" s="225" t="s">
        <v>2844</v>
      </c>
      <c r="E4" s="225"/>
      <c r="F4" s="223"/>
      <c r="G4" s="223"/>
      <c r="H4" s="223"/>
      <c r="I4" s="223"/>
      <c r="J4" s="223"/>
      <c r="K4" s="223"/>
      <c r="L4" s="223"/>
      <c r="M4" s="224"/>
      <c r="N4" s="223"/>
    </row>
    <row r="5" spans="1:17" s="39" customFormat="1" ht="21" customHeight="1" x14ac:dyDescent="0.25">
      <c r="A5" s="39" t="s">
        <v>2903</v>
      </c>
      <c r="B5" s="39" t="str">
        <f>"Return to "&amp;WELCOME_SELECTION_EFORM_DESC</f>
        <v>Return to New Household Reservation Request</v>
      </c>
      <c r="C5" s="220"/>
      <c r="D5" s="238"/>
      <c r="E5" s="222"/>
      <c r="F5" s="221"/>
      <c r="G5" s="221"/>
      <c r="H5" s="221"/>
      <c r="I5" s="221"/>
      <c r="J5" s="221"/>
      <c r="K5" s="221"/>
      <c r="L5" s="221"/>
      <c r="M5" s="221"/>
      <c r="N5" s="220"/>
      <c r="Q5"/>
    </row>
    <row r="6" spans="1:17" s="1" customFormat="1" ht="21.95" customHeight="1" x14ac:dyDescent="0.2">
      <c r="C6" s="218"/>
      <c r="D6" s="385" t="s">
        <v>2843</v>
      </c>
      <c r="E6" s="385"/>
      <c r="F6" s="385"/>
      <c r="G6" s="385"/>
      <c r="H6" s="385"/>
      <c r="I6" s="385"/>
      <c r="J6" s="385"/>
      <c r="K6" s="385"/>
      <c r="L6" s="385"/>
      <c r="M6" s="385"/>
      <c r="N6" s="218"/>
    </row>
    <row r="7" spans="1:17" s="1" customFormat="1" ht="9" customHeight="1" x14ac:dyDescent="0.2">
      <c r="C7" s="218"/>
      <c r="D7" s="219"/>
      <c r="E7" s="219"/>
      <c r="F7" s="219"/>
      <c r="G7" s="219"/>
      <c r="H7" s="219"/>
      <c r="I7" s="219"/>
      <c r="J7" s="219"/>
      <c r="K7" s="219"/>
      <c r="L7" s="219"/>
      <c r="M7" s="219"/>
      <c r="N7" s="218"/>
    </row>
    <row r="8" spans="1:17" s="177" customFormat="1" ht="20.100000000000001" customHeight="1" x14ac:dyDescent="0.25">
      <c r="C8" s="211"/>
      <c r="D8" s="381" t="s">
        <v>2842</v>
      </c>
      <c r="E8" s="381"/>
      <c r="F8" s="377" t="s">
        <v>2841</v>
      </c>
      <c r="G8" s="378"/>
      <c r="H8" s="379"/>
      <c r="I8" s="180" t="s">
        <v>31</v>
      </c>
      <c r="J8" s="180" t="s">
        <v>2840</v>
      </c>
      <c r="K8" s="180" t="s">
        <v>2839</v>
      </c>
      <c r="L8" s="180" t="s">
        <v>2838</v>
      </c>
      <c r="M8" s="180" t="s">
        <v>2837</v>
      </c>
      <c r="N8" s="211"/>
    </row>
    <row r="9" spans="1:17" s="177" customFormat="1" ht="20.100000000000001" customHeight="1" x14ac:dyDescent="0.25">
      <c r="C9" s="211"/>
      <c r="D9" s="389" t="str">
        <f ca="1">DATA_PRIM_BORW_FULL_NAME</f>
        <v/>
      </c>
      <c r="E9" s="391"/>
      <c r="F9" s="389" t="str">
        <f ca="1">DATA_PROPTY_ADDRESS_UNIFIED</f>
        <v/>
      </c>
      <c r="G9" s="390"/>
      <c r="H9" s="391"/>
      <c r="I9" s="217" t="str">
        <f ca="1">IF(DATA_EFORM_TYPE_CODE=EFORM_TYPE_CODE_RESERVATION,DATA_RESERVATION_DATE,DATA_ADL_ICW_COMPLETION_DATE)</f>
        <v/>
      </c>
      <c r="J9" s="216"/>
      <c r="K9" s="216"/>
      <c r="L9" s="226" t="str">
        <f>IF(OR(HOUSEHOLD_NUM_ADULTS&lt;&gt;"",HOUSEHOLD_NUM_CHILDREN&lt;&gt;""),SUM(HOUSEHOLD_NUM_ADULTS,HOUSEHOLD_NUM_CHILDREN),"")</f>
        <v/>
      </c>
      <c r="M9" s="227">
        <f>SUM(INCOME_SUBTOTAL_A1,INCOME_SUBTOTAL_A2,INCOME_SUBTOTAL_A3,INCOME_SUBTOTAL_B,INCOME_SUBTOTAL_C,INCOME_SUBTOTAL_D,INCOME_SUBTOTAL_E,INCOME_SUBTOTAL_F)</f>
        <v>0</v>
      </c>
      <c r="N9" s="215"/>
    </row>
    <row r="10" spans="1:17" s="177" customFormat="1" ht="8.1" customHeight="1" x14ac:dyDescent="0.2">
      <c r="C10" s="211"/>
      <c r="D10" s="213"/>
      <c r="E10" s="213"/>
      <c r="F10" s="213"/>
      <c r="G10" s="213"/>
      <c r="H10" s="213"/>
      <c r="I10" s="213"/>
      <c r="J10" s="213"/>
      <c r="K10" s="213"/>
      <c r="L10" s="213"/>
      <c r="M10" s="1"/>
      <c r="N10" s="211"/>
    </row>
    <row r="11" spans="1:17" s="177" customFormat="1" ht="20.100000000000001" customHeight="1" x14ac:dyDescent="0.25">
      <c r="C11" s="211"/>
      <c r="D11" s="395" t="s">
        <v>2836</v>
      </c>
      <c r="E11" s="395"/>
      <c r="F11" s="395"/>
      <c r="G11" s="395"/>
      <c r="H11" s="395"/>
      <c r="I11" s="395"/>
      <c r="J11" s="396"/>
      <c r="K11" s="392" t="str">
        <f ca="1">DATA_MEMBER_NAME</f>
        <v/>
      </c>
      <c r="L11" s="393"/>
      <c r="M11" s="394"/>
      <c r="N11" s="211"/>
    </row>
    <row r="12" spans="1:17" s="177" customFormat="1" ht="8.1" customHeight="1" x14ac:dyDescent="0.2">
      <c r="C12" s="211"/>
      <c r="D12" s="214"/>
      <c r="E12" s="214"/>
      <c r="F12" s="213"/>
      <c r="G12" s="213"/>
      <c r="H12" s="213"/>
      <c r="I12" s="213"/>
      <c r="J12" s="213"/>
      <c r="K12" s="212"/>
      <c r="L12" s="212"/>
      <c r="M12" s="212"/>
      <c r="N12" s="211"/>
    </row>
    <row r="13" spans="1:17" s="177" customFormat="1" ht="27.75" customHeight="1" x14ac:dyDescent="0.25">
      <c r="C13" s="211"/>
      <c r="D13" s="388" t="s">
        <v>2890</v>
      </c>
      <c r="E13" s="388"/>
      <c r="F13" s="388"/>
      <c r="G13" s="388"/>
      <c r="H13" s="388"/>
      <c r="I13" s="388"/>
      <c r="J13" s="388"/>
      <c r="K13" s="388"/>
      <c r="L13" s="388"/>
      <c r="M13" s="388"/>
      <c r="N13" s="211"/>
    </row>
    <row r="14" spans="1:17" s="177" customFormat="1" ht="4.5" customHeight="1" thickBot="1" x14ac:dyDescent="0.3">
      <c r="C14" s="206"/>
      <c r="D14" s="210"/>
      <c r="E14" s="210"/>
      <c r="F14" s="210"/>
      <c r="G14" s="210"/>
      <c r="H14" s="210"/>
      <c r="I14" s="210"/>
      <c r="J14" s="210"/>
      <c r="K14" s="209"/>
      <c r="L14" s="208"/>
      <c r="M14" s="207"/>
      <c r="N14" s="206"/>
    </row>
    <row r="15" spans="1:17" s="177" customFormat="1" ht="15" customHeight="1" thickTop="1" x14ac:dyDescent="0.25">
      <c r="C15" s="205"/>
      <c r="D15" s="77"/>
      <c r="E15" s="77"/>
      <c r="F15" s="77"/>
      <c r="G15" s="77"/>
      <c r="H15" s="77"/>
      <c r="I15" s="77"/>
      <c r="J15" s="77"/>
      <c r="K15" s="204"/>
      <c r="L15" s="62"/>
      <c r="M15" s="203"/>
    </row>
    <row r="16" spans="1:17" s="177" customFormat="1" ht="20.100000000000001" customHeight="1" x14ac:dyDescent="0.25">
      <c r="C16" s="205"/>
      <c r="D16" s="385" t="s">
        <v>2416</v>
      </c>
      <c r="E16" s="385"/>
      <c r="F16" s="385"/>
      <c r="G16" s="385"/>
      <c r="H16" s="385"/>
      <c r="I16" s="385"/>
      <c r="J16" s="385"/>
      <c r="K16" s="385"/>
      <c r="L16" s="385"/>
      <c r="M16" s="385"/>
    </row>
    <row r="17" spans="3:13" s="177" customFormat="1" ht="237.75" customHeight="1" x14ac:dyDescent="0.25">
      <c r="C17" s="205"/>
      <c r="D17" s="399" t="s">
        <v>2964</v>
      </c>
      <c r="E17" s="399"/>
      <c r="F17" s="399"/>
      <c r="G17" s="399"/>
      <c r="H17" s="399"/>
      <c r="I17" s="399"/>
      <c r="J17" s="399"/>
      <c r="K17" s="399"/>
      <c r="L17" s="399"/>
      <c r="M17" s="399"/>
    </row>
    <row r="18" spans="3:13" s="177" customFormat="1" ht="15" customHeight="1" x14ac:dyDescent="0.25">
      <c r="C18" s="205"/>
      <c r="D18" s="77"/>
      <c r="E18" s="77"/>
      <c r="F18" s="77"/>
      <c r="G18" s="77"/>
      <c r="H18" s="77"/>
      <c r="I18" s="77"/>
      <c r="J18" s="77"/>
      <c r="K18" s="204"/>
      <c r="L18" s="62"/>
      <c r="M18" s="203"/>
    </row>
    <row r="19" spans="3:13" s="1" customFormat="1" ht="20.100000000000001" customHeight="1" x14ac:dyDescent="0.2">
      <c r="D19" s="385" t="s">
        <v>2835</v>
      </c>
      <c r="E19" s="385"/>
      <c r="F19" s="385"/>
      <c r="G19" s="385"/>
      <c r="H19" s="385"/>
      <c r="I19" s="385"/>
      <c r="J19" s="385"/>
      <c r="K19" s="385"/>
      <c r="L19" s="385"/>
      <c r="M19" s="385"/>
    </row>
    <row r="20" spans="3:13" s="1" customFormat="1" ht="9" customHeight="1" x14ac:dyDescent="0.2"/>
    <row r="21" spans="3:13" s="1" customFormat="1" ht="18" customHeight="1" x14ac:dyDescent="0.2">
      <c r="D21" s="361" t="s">
        <v>2834</v>
      </c>
      <c r="E21" s="361"/>
      <c r="F21" s="361"/>
      <c r="G21" s="361"/>
      <c r="H21" s="361"/>
      <c r="I21" s="361"/>
      <c r="J21" s="361"/>
      <c r="K21" s="361"/>
      <c r="L21" s="361"/>
      <c r="M21" s="361"/>
    </row>
    <row r="22" spans="3:13" s="1" customFormat="1" ht="186" customHeight="1" x14ac:dyDescent="0.2">
      <c r="D22" s="362" t="s">
        <v>2972</v>
      </c>
      <c r="E22" s="363"/>
      <c r="F22" s="363"/>
      <c r="G22" s="363"/>
      <c r="H22" s="363"/>
      <c r="I22" s="363"/>
      <c r="J22" s="363"/>
      <c r="K22" s="363"/>
      <c r="L22" s="363"/>
      <c r="M22" s="364"/>
    </row>
    <row r="23" spans="3:13" s="1" customFormat="1" ht="3.95" customHeight="1" x14ac:dyDescent="0.2"/>
    <row r="24" spans="3:13" s="177" customFormat="1" ht="18" customHeight="1" x14ac:dyDescent="0.25">
      <c r="D24" s="186" t="s">
        <v>2788</v>
      </c>
      <c r="E24" s="186" t="s">
        <v>2815</v>
      </c>
      <c r="F24" s="180" t="s">
        <v>2832</v>
      </c>
      <c r="G24" s="180" t="s">
        <v>2814</v>
      </c>
      <c r="H24" s="180" t="s">
        <v>2831</v>
      </c>
      <c r="I24" s="202" t="s">
        <v>2830</v>
      </c>
      <c r="J24" s="180" t="s">
        <v>2829</v>
      </c>
      <c r="K24" s="180" t="s">
        <v>2828</v>
      </c>
      <c r="L24" s="180" t="s">
        <v>2827</v>
      </c>
      <c r="M24" s="180" t="s">
        <v>2797</v>
      </c>
    </row>
    <row r="25" spans="3:13" s="177" customFormat="1" ht="18" customHeight="1" thickBot="1" x14ac:dyDescent="0.3">
      <c r="D25" s="185"/>
      <c r="E25" s="185"/>
      <c r="F25" s="189"/>
      <c r="G25" s="189"/>
      <c r="H25" s="198"/>
      <c r="I25" s="201" t="str">
        <f>IF(SUM(I27:L27)&gt;0,SUM(I27:L27)/COUNTIF(I27:L27,"&gt;=0"),"")</f>
        <v/>
      </c>
      <c r="J25" s="200"/>
      <c r="K25" s="199" t="str">
        <f>IFERROR(IF(AND(ICW!$F25&lt;&gt;"",ICW!$G25&lt;&gt;"",ICW!$F25&lt;ICW!$G25,ICW!$J25&lt;&gt;"",VALUE(ICW!$H25)&gt;0,ICW!$H25&lt;&gt;""),ROUNDUP(((ICW!$G25-MAX(ICW!$F25,"1/1/"&amp;YEAR(ICW!$G25)))/7)/(52/ICW!$H25),0),""),"")</f>
        <v/>
      </c>
      <c r="L25" s="182" t="str">
        <f>IFERROR(IF($K25&lt;&gt;"",$J25/$K25,""),"")</f>
        <v/>
      </c>
      <c r="M25" s="372" t="str">
        <f>IFERROR(IF(AND(L25&lt;&gt;"",I25&lt;&gt;"",H25&lt;&gt;""),MAX(L25,I25)*H25,""),"")</f>
        <v/>
      </c>
    </row>
    <row r="26" spans="3:13" s="177" customFormat="1" ht="18" customHeight="1" x14ac:dyDescent="0.25">
      <c r="D26" s="193"/>
      <c r="E26" s="193"/>
      <c r="F26" s="193"/>
      <c r="G26" s="193"/>
      <c r="H26" s="192" t="s">
        <v>2826</v>
      </c>
      <c r="I26" s="191" t="s">
        <v>2825</v>
      </c>
      <c r="J26" s="191" t="s">
        <v>2824</v>
      </c>
      <c r="K26" s="191" t="s">
        <v>2823</v>
      </c>
      <c r="L26" s="191" t="s">
        <v>2822</v>
      </c>
      <c r="M26" s="397"/>
    </row>
    <row r="27" spans="3:13" s="177" customFormat="1" ht="18" customHeight="1" x14ac:dyDescent="0.25">
      <c r="H27" s="190" t="s">
        <v>2821</v>
      </c>
      <c r="I27" s="181"/>
      <c r="J27" s="181"/>
      <c r="K27" s="181"/>
      <c r="L27" s="181"/>
      <c r="M27" s="398"/>
    </row>
    <row r="28" spans="3:13" s="177" customFormat="1" ht="18" customHeight="1" x14ac:dyDescent="0.25"/>
    <row r="29" spans="3:13" s="177" customFormat="1" ht="18" customHeight="1" x14ac:dyDescent="0.25">
      <c r="D29" s="186" t="s">
        <v>2788</v>
      </c>
      <c r="E29" s="186" t="s">
        <v>2815</v>
      </c>
      <c r="F29" s="180" t="s">
        <v>2832</v>
      </c>
      <c r="G29" s="180" t="s">
        <v>2814</v>
      </c>
      <c r="H29" s="180" t="s">
        <v>2831</v>
      </c>
      <c r="I29" s="180" t="s">
        <v>2830</v>
      </c>
      <c r="J29" s="180" t="s">
        <v>2829</v>
      </c>
      <c r="K29" s="180" t="s">
        <v>2828</v>
      </c>
      <c r="L29" s="180" t="s">
        <v>2827</v>
      </c>
      <c r="M29" s="180" t="s">
        <v>2797</v>
      </c>
    </row>
    <row r="30" spans="3:13" s="177" customFormat="1" ht="18" customHeight="1" thickBot="1" x14ac:dyDescent="0.3">
      <c r="D30" s="185"/>
      <c r="E30" s="185"/>
      <c r="F30" s="189"/>
      <c r="G30" s="189"/>
      <c r="H30" s="198"/>
      <c r="I30" s="197" t="str">
        <f>IF(SUM(I32:L32)&gt;0,SUM(I32:L32)/COUNTIF(I32:L32,"&gt;=0"),"")</f>
        <v/>
      </c>
      <c r="J30" s="196"/>
      <c r="K30" s="195" t="str">
        <f>IFERROR(IF(AND(ICW!$F30&lt;&gt;"",ICW!$G30&lt;&gt;"",ICW!$F30&lt;ICW!$G30,ICW!$J30&lt;&gt;"",VALUE(ICW!$H30)&gt;0,ICW!$H30&lt;&gt;""),ROUNDUP(((ICW!$G30-MAX(ICW!$F30,"1/1/"&amp;YEAR(ICW!$G30)))/7)/(52/ICW!$H30),0),""),"")</f>
        <v/>
      </c>
      <c r="L30" s="194" t="str">
        <f>IFERROR(IF($K30&lt;&gt;"",$J30/$K30,""),"")</f>
        <v/>
      </c>
      <c r="M30" s="373" t="str">
        <f>IFERROR(IF(AND(L30&lt;&gt;"",I30&lt;&gt;"",H30&lt;&gt;""),MAX(L30,I30)*H30,""),"")</f>
        <v/>
      </c>
    </row>
    <row r="31" spans="3:13" s="177" customFormat="1" ht="18" customHeight="1" x14ac:dyDescent="0.25">
      <c r="D31" s="193"/>
      <c r="E31" s="193"/>
      <c r="F31" s="193"/>
      <c r="G31" s="193"/>
      <c r="H31" s="192" t="s">
        <v>2826</v>
      </c>
      <c r="I31" s="191" t="s">
        <v>2825</v>
      </c>
      <c r="J31" s="191" t="s">
        <v>2824</v>
      </c>
      <c r="K31" s="191" t="s">
        <v>2823</v>
      </c>
      <c r="L31" s="191" t="s">
        <v>2822</v>
      </c>
      <c r="M31" s="373"/>
    </row>
    <row r="32" spans="3:13" s="177" customFormat="1" ht="18" customHeight="1" x14ac:dyDescent="0.25">
      <c r="H32" s="190" t="s">
        <v>2821</v>
      </c>
      <c r="I32" s="181"/>
      <c r="J32" s="181"/>
      <c r="K32" s="181"/>
      <c r="L32" s="181"/>
      <c r="M32" s="374"/>
    </row>
    <row r="33" spans="4:13" s="177" customFormat="1" ht="18" customHeight="1" x14ac:dyDescent="0.25"/>
    <row r="34" spans="4:13" s="177" customFormat="1" ht="18" customHeight="1" x14ac:dyDescent="0.25">
      <c r="D34" s="186" t="s">
        <v>2788</v>
      </c>
      <c r="E34" s="186" t="s">
        <v>2815</v>
      </c>
      <c r="F34" s="180" t="s">
        <v>2832</v>
      </c>
      <c r="G34" s="180" t="s">
        <v>2814</v>
      </c>
      <c r="H34" s="180" t="s">
        <v>2831</v>
      </c>
      <c r="I34" s="180" t="s">
        <v>2830</v>
      </c>
      <c r="J34" s="180" t="s">
        <v>2829</v>
      </c>
      <c r="K34" s="180" t="s">
        <v>2828</v>
      </c>
      <c r="L34" s="180" t="s">
        <v>2827</v>
      </c>
      <c r="M34" s="180" t="s">
        <v>2797</v>
      </c>
    </row>
    <row r="35" spans="4:13" s="177" customFormat="1" ht="18" customHeight="1" thickBot="1" x14ac:dyDescent="0.3">
      <c r="D35" s="185"/>
      <c r="E35" s="185"/>
      <c r="F35" s="189"/>
      <c r="G35" s="189"/>
      <c r="H35" s="198"/>
      <c r="I35" s="197" t="str">
        <f>IF(SUM(I37:L37)&gt;0,SUM(I37:L37)/COUNTIF(I37:L37,"&gt;=0"),"")</f>
        <v/>
      </c>
      <c r="J35" s="196"/>
      <c r="K35" s="195" t="str">
        <f>IFERROR(IF(AND(ICW!$F35&lt;&gt;"",ICW!$G35&lt;&gt;"",ICW!$F35&lt;ICW!$G35,ICW!$J35&lt;&gt;"",VALUE(ICW!$H35)&gt;0,ICW!$H35&lt;&gt;""),ROUNDUP(((ICW!$G35-MAX(ICW!$F35,"1/1/"&amp;YEAR(ICW!$G35)))/7)/(52/ICW!$H35),0),""),"")</f>
        <v/>
      </c>
      <c r="L35" s="194" t="str">
        <f>IFERROR(IF($K35&lt;&gt;"",$J35/$K35,""),"")</f>
        <v/>
      </c>
      <c r="M35" s="372" t="str">
        <f>IFERROR(IF(AND(L35&lt;&gt;"",I35&lt;&gt;"",H35&lt;&gt;""),MAX(L35,I35)*H35,""),"")</f>
        <v/>
      </c>
    </row>
    <row r="36" spans="4:13" s="177" customFormat="1" ht="18" customHeight="1" x14ac:dyDescent="0.25">
      <c r="D36" s="193"/>
      <c r="E36" s="193"/>
      <c r="F36" s="193"/>
      <c r="G36" s="193"/>
      <c r="H36" s="192" t="s">
        <v>2826</v>
      </c>
      <c r="I36" s="191" t="s">
        <v>2825</v>
      </c>
      <c r="J36" s="191" t="s">
        <v>2824</v>
      </c>
      <c r="K36" s="191" t="s">
        <v>2823</v>
      </c>
      <c r="L36" s="191" t="s">
        <v>2822</v>
      </c>
      <c r="M36" s="373"/>
    </row>
    <row r="37" spans="4:13" s="177" customFormat="1" ht="18" customHeight="1" x14ac:dyDescent="0.25">
      <c r="H37" s="190" t="s">
        <v>2821</v>
      </c>
      <c r="I37" s="181"/>
      <c r="J37" s="181"/>
      <c r="K37" s="181"/>
      <c r="L37" s="181"/>
      <c r="M37" s="374"/>
    </row>
    <row r="38" spans="4:13" s="177" customFormat="1" ht="18" customHeight="1" x14ac:dyDescent="0.25"/>
    <row r="39" spans="4:13" s="177" customFormat="1" ht="18" customHeight="1" x14ac:dyDescent="0.25">
      <c r="D39" s="186" t="s">
        <v>2788</v>
      </c>
      <c r="E39" s="186" t="s">
        <v>2815</v>
      </c>
      <c r="F39" s="180" t="s">
        <v>2832</v>
      </c>
      <c r="G39" s="180" t="s">
        <v>2814</v>
      </c>
      <c r="H39" s="180" t="s">
        <v>2831</v>
      </c>
      <c r="I39" s="180" t="s">
        <v>2830</v>
      </c>
      <c r="J39" s="180" t="s">
        <v>2829</v>
      </c>
      <c r="K39" s="180" t="s">
        <v>2828</v>
      </c>
      <c r="L39" s="180" t="s">
        <v>2827</v>
      </c>
      <c r="M39" s="180" t="s">
        <v>2797</v>
      </c>
    </row>
    <row r="40" spans="4:13" s="177" customFormat="1" ht="18" customHeight="1" thickBot="1" x14ac:dyDescent="0.3">
      <c r="D40" s="185"/>
      <c r="E40" s="185"/>
      <c r="F40" s="189"/>
      <c r="G40" s="189"/>
      <c r="H40" s="198"/>
      <c r="I40" s="197" t="str">
        <f>IF(SUM(I42:L42)&gt;0,SUM(I42:L42)/COUNTIF(I42:L42,"&gt;=0"),"")</f>
        <v/>
      </c>
      <c r="J40" s="196"/>
      <c r="K40" s="195" t="str">
        <f>IFERROR(IF(AND(ICW!$F40&lt;&gt;"",ICW!$G40&lt;&gt;"",ICW!$F40&lt;ICW!$G40,ICW!$J40&lt;&gt;"",VALUE(ICW!$H40)&gt;0,ICW!$H40&lt;&gt;""),ROUNDUP(((ICW!$G40-MAX(ICW!$F40,"1/1/"&amp;YEAR(ICW!$G40)))/7)/(52/ICW!$H40),0),""),"")</f>
        <v/>
      </c>
      <c r="L40" s="194" t="str">
        <f>IFERROR(IF($K40&lt;&gt;"",$J40/$K40,""),"")</f>
        <v/>
      </c>
      <c r="M40" s="372" t="str">
        <f>IFERROR(IF(AND(L40&lt;&gt;"",I40&lt;&gt;"",H40&lt;&gt;""),MAX(L40,I40)*H40,""),"")</f>
        <v/>
      </c>
    </row>
    <row r="41" spans="4:13" s="177" customFormat="1" ht="18" customHeight="1" x14ac:dyDescent="0.25">
      <c r="D41" s="193"/>
      <c r="E41" s="193"/>
      <c r="F41" s="193"/>
      <c r="G41" s="193"/>
      <c r="H41" s="192" t="s">
        <v>2826</v>
      </c>
      <c r="I41" s="191" t="s">
        <v>2825</v>
      </c>
      <c r="J41" s="191" t="s">
        <v>2824</v>
      </c>
      <c r="K41" s="191" t="s">
        <v>2823</v>
      </c>
      <c r="L41" s="191" t="s">
        <v>2822</v>
      </c>
      <c r="M41" s="373"/>
    </row>
    <row r="42" spans="4:13" s="177" customFormat="1" ht="18" customHeight="1" x14ac:dyDescent="0.25">
      <c r="H42" s="190" t="s">
        <v>2821</v>
      </c>
      <c r="I42" s="181"/>
      <c r="J42" s="181"/>
      <c r="K42" s="181"/>
      <c r="L42" s="181"/>
      <c r="M42" s="374"/>
    </row>
    <row r="43" spans="4:13" s="177" customFormat="1" ht="18" customHeight="1" x14ac:dyDescent="0.25"/>
    <row r="44" spans="4:13" s="177" customFormat="1" ht="18" customHeight="1" x14ac:dyDescent="0.25">
      <c r="D44" s="186" t="s">
        <v>2788</v>
      </c>
      <c r="E44" s="186" t="s">
        <v>2815</v>
      </c>
      <c r="F44" s="180" t="s">
        <v>2832</v>
      </c>
      <c r="G44" s="180" t="s">
        <v>2814</v>
      </c>
      <c r="H44" s="180" t="s">
        <v>2831</v>
      </c>
      <c r="I44" s="180" t="s">
        <v>2830</v>
      </c>
      <c r="J44" s="180" t="s">
        <v>2829</v>
      </c>
      <c r="K44" s="180" t="s">
        <v>2828</v>
      </c>
      <c r="L44" s="180" t="s">
        <v>2827</v>
      </c>
      <c r="M44" s="180" t="s">
        <v>2797</v>
      </c>
    </row>
    <row r="45" spans="4:13" s="177" customFormat="1" ht="18" customHeight="1" thickBot="1" x14ac:dyDescent="0.3">
      <c r="D45" s="185"/>
      <c r="E45" s="185"/>
      <c r="F45" s="189"/>
      <c r="G45" s="189"/>
      <c r="H45" s="198"/>
      <c r="I45" s="197" t="str">
        <f>IF(SUM(I47:L47)&gt;0,SUM(I47:L47)/COUNTIF(I47:L47,"&gt;=0"),"")</f>
        <v/>
      </c>
      <c r="J45" s="196"/>
      <c r="K45" s="195" t="str">
        <f>IFERROR(IF(AND(ICW!$F45&lt;&gt;"",ICW!$G45&lt;&gt;"",ICW!$F45&lt;ICW!$G45,ICW!$J45&lt;&gt;"",VALUE(ICW!$H45)&gt;0,ICW!$H45&lt;&gt;""),ROUNDUP(((ICW!$G45-MAX(ICW!$F45,"1/1/"&amp;YEAR(ICW!$G45)))/7)/(52/ICW!$H45),0),""),"")</f>
        <v/>
      </c>
      <c r="L45" s="194" t="str">
        <f>IFERROR(IF($K45&lt;&gt;"",$J45/$K45,""),"")</f>
        <v/>
      </c>
      <c r="M45" s="372" t="str">
        <f>IFERROR(IF(AND(L45&lt;&gt;"",I45&lt;&gt;"",H45&lt;&gt;""),MAX(L45,I45)*H45,""),"")</f>
        <v/>
      </c>
    </row>
    <row r="46" spans="4:13" s="177" customFormat="1" ht="18" customHeight="1" x14ac:dyDescent="0.25">
      <c r="D46" s="193"/>
      <c r="E46" s="193"/>
      <c r="F46" s="193"/>
      <c r="G46" s="193"/>
      <c r="H46" s="192" t="s">
        <v>2833</v>
      </c>
      <c r="I46" s="191" t="s">
        <v>2825</v>
      </c>
      <c r="J46" s="191" t="s">
        <v>2824</v>
      </c>
      <c r="K46" s="191" t="s">
        <v>2823</v>
      </c>
      <c r="L46" s="191" t="s">
        <v>2822</v>
      </c>
      <c r="M46" s="373"/>
    </row>
    <row r="47" spans="4:13" s="177" customFormat="1" ht="18" customHeight="1" x14ac:dyDescent="0.25">
      <c r="H47" s="190" t="s">
        <v>2821</v>
      </c>
      <c r="I47" s="181"/>
      <c r="J47" s="181"/>
      <c r="K47" s="181"/>
      <c r="L47" s="181"/>
      <c r="M47" s="374"/>
    </row>
    <row r="48" spans="4:13" s="177" customFormat="1" ht="18" customHeight="1" x14ac:dyDescent="0.25"/>
    <row r="49" spans="4:13" s="177" customFormat="1" ht="18" customHeight="1" x14ac:dyDescent="0.25">
      <c r="D49" s="186" t="s">
        <v>2788</v>
      </c>
      <c r="E49" s="186" t="s">
        <v>2815</v>
      </c>
      <c r="F49" s="180" t="s">
        <v>2832</v>
      </c>
      <c r="G49" s="180" t="s">
        <v>2814</v>
      </c>
      <c r="H49" s="180" t="s">
        <v>2831</v>
      </c>
      <c r="I49" s="180" t="s">
        <v>2830</v>
      </c>
      <c r="J49" s="180" t="s">
        <v>2829</v>
      </c>
      <c r="K49" s="180" t="s">
        <v>2828</v>
      </c>
      <c r="L49" s="180" t="s">
        <v>2827</v>
      </c>
      <c r="M49" s="180" t="s">
        <v>2797</v>
      </c>
    </row>
    <row r="50" spans="4:13" s="177" customFormat="1" ht="18" customHeight="1" thickBot="1" x14ac:dyDescent="0.3">
      <c r="D50" s="185"/>
      <c r="E50" s="185"/>
      <c r="F50" s="189"/>
      <c r="G50" s="189"/>
      <c r="H50" s="198"/>
      <c r="I50" s="197" t="str">
        <f>IF(SUM(I52:L52)&gt;0,SUM(I52:L52)/COUNTIF(I52:L52,"&gt;=0"),"")</f>
        <v/>
      </c>
      <c r="J50" s="196"/>
      <c r="K50" s="195" t="str">
        <f>IFERROR(IF(AND(ICW!$F50&lt;&gt;"",ICW!$G50&lt;&gt;"",ICW!$F50&lt;ICW!$G50,ICW!$J50&lt;&gt;"",VALUE(ICW!$H50)&gt;0,ICW!$H50&lt;&gt;""),ROUNDUP(((ICW!$G50-MAX(ICW!$F50,"1/1/"&amp;YEAR(ICW!$G50)))/7)/(52/ICW!$H50),0),""),"")</f>
        <v/>
      </c>
      <c r="L50" s="194" t="str">
        <f>IFERROR(IF($K50&lt;&gt;"",$J50/$K50,""),"")</f>
        <v/>
      </c>
      <c r="M50" s="372" t="str">
        <f>IFERROR(IF(AND(L50&lt;&gt;"",I50&lt;&gt;"",H50&lt;&gt;""),MAX(L50,I50)*H50,""),"")</f>
        <v/>
      </c>
    </row>
    <row r="51" spans="4:13" s="177" customFormat="1" ht="18" customHeight="1" x14ac:dyDescent="0.25">
      <c r="D51" s="193"/>
      <c r="E51" s="193"/>
      <c r="F51" s="193"/>
      <c r="G51" s="193"/>
      <c r="H51" s="192" t="s">
        <v>2826</v>
      </c>
      <c r="I51" s="191" t="s">
        <v>2825</v>
      </c>
      <c r="J51" s="191" t="s">
        <v>2824</v>
      </c>
      <c r="K51" s="191" t="s">
        <v>2823</v>
      </c>
      <c r="L51" s="191" t="s">
        <v>2822</v>
      </c>
      <c r="M51" s="373"/>
    </row>
    <row r="52" spans="4:13" s="177" customFormat="1" ht="18" customHeight="1" x14ac:dyDescent="0.25">
      <c r="H52" s="190" t="s">
        <v>2821</v>
      </c>
      <c r="I52" s="181"/>
      <c r="J52" s="181"/>
      <c r="K52" s="181"/>
      <c r="L52" s="181"/>
      <c r="M52" s="374"/>
    </row>
    <row r="53" spans="4:13" s="177" customFormat="1" ht="18" customHeight="1" x14ac:dyDescent="0.25"/>
    <row r="54" spans="4:13" s="177" customFormat="1" ht="18" customHeight="1" x14ac:dyDescent="0.25">
      <c r="D54" s="367" t="s">
        <v>2820</v>
      </c>
      <c r="E54" s="367"/>
      <c r="F54" s="367"/>
      <c r="G54" s="367"/>
      <c r="H54" s="367"/>
      <c r="I54" s="367"/>
      <c r="J54" s="367"/>
      <c r="K54" s="367"/>
      <c r="L54" s="367"/>
      <c r="M54" s="178">
        <f>SUM(M25,M30,M35,M40,M45,M50)</f>
        <v>0</v>
      </c>
    </row>
    <row r="55" spans="4:13" s="1" customFormat="1" ht="21.95" customHeight="1" x14ac:dyDescent="0.2"/>
    <row r="56" spans="4:13" s="1" customFormat="1" ht="18" customHeight="1" x14ac:dyDescent="0.2">
      <c r="D56" s="401" t="s">
        <v>2819</v>
      </c>
      <c r="E56" s="401"/>
      <c r="F56" s="361"/>
      <c r="G56" s="361"/>
      <c r="H56" s="361"/>
      <c r="I56" s="361"/>
      <c r="J56" s="361"/>
      <c r="K56" s="361"/>
      <c r="L56" s="361"/>
      <c r="M56" s="361"/>
    </row>
    <row r="57" spans="4:13" s="1" customFormat="1" ht="3.95" customHeight="1" x14ac:dyDescent="0.2"/>
    <row r="58" spans="4:13" s="177" customFormat="1" ht="18" customHeight="1" x14ac:dyDescent="0.25">
      <c r="D58" s="186" t="s">
        <v>2788</v>
      </c>
      <c r="E58" s="381" t="s">
        <v>2815</v>
      </c>
      <c r="F58" s="381"/>
      <c r="G58" s="381"/>
      <c r="H58" s="381"/>
      <c r="I58" s="381"/>
      <c r="J58" s="381"/>
      <c r="K58" s="381"/>
      <c r="L58" s="180" t="s">
        <v>2818</v>
      </c>
      <c r="M58" s="180" t="s">
        <v>2797</v>
      </c>
    </row>
    <row r="59" spans="4:13" s="177" customFormat="1" ht="18" customHeight="1" x14ac:dyDescent="0.25">
      <c r="D59" s="185"/>
      <c r="E59" s="368"/>
      <c r="F59" s="380"/>
      <c r="G59" s="380"/>
      <c r="H59" s="380"/>
      <c r="I59" s="380"/>
      <c r="J59" s="380"/>
      <c r="K59" s="369"/>
      <c r="L59" s="189"/>
      <c r="M59" s="181"/>
    </row>
    <row r="60" spans="4:13" s="177" customFormat="1" ht="18" customHeight="1" x14ac:dyDescent="0.25">
      <c r="D60" s="185"/>
      <c r="E60" s="368"/>
      <c r="F60" s="380"/>
      <c r="G60" s="380"/>
      <c r="H60" s="380"/>
      <c r="I60" s="380"/>
      <c r="J60" s="380"/>
      <c r="K60" s="369"/>
      <c r="L60" s="189"/>
      <c r="M60" s="181"/>
    </row>
    <row r="61" spans="4:13" s="177" customFormat="1" ht="18" customHeight="1" x14ac:dyDescent="0.25">
      <c r="D61" s="185"/>
      <c r="E61" s="368"/>
      <c r="F61" s="380"/>
      <c r="G61" s="380"/>
      <c r="H61" s="380"/>
      <c r="I61" s="380"/>
      <c r="J61" s="380"/>
      <c r="K61" s="369"/>
      <c r="L61" s="189"/>
      <c r="M61" s="181"/>
    </row>
    <row r="62" spans="4:13" s="177" customFormat="1" ht="18" customHeight="1" x14ac:dyDescent="0.25">
      <c r="D62" s="185"/>
      <c r="E62" s="368"/>
      <c r="F62" s="380"/>
      <c r="G62" s="380"/>
      <c r="H62" s="380"/>
      <c r="I62" s="380"/>
      <c r="J62" s="380"/>
      <c r="K62" s="369"/>
      <c r="L62" s="189"/>
      <c r="M62" s="181"/>
    </row>
    <row r="63" spans="4:13" s="177" customFormat="1" ht="18" customHeight="1" x14ac:dyDescent="0.25">
      <c r="D63" s="185"/>
      <c r="E63" s="368"/>
      <c r="F63" s="380"/>
      <c r="G63" s="380"/>
      <c r="H63" s="380"/>
      <c r="I63" s="380"/>
      <c r="J63" s="380"/>
      <c r="K63" s="369"/>
      <c r="L63" s="189"/>
      <c r="M63" s="181"/>
    </row>
    <row r="64" spans="4:13" s="177" customFormat="1" ht="18" customHeight="1" x14ac:dyDescent="0.25">
      <c r="D64" s="367" t="s">
        <v>2817</v>
      </c>
      <c r="E64" s="367"/>
      <c r="F64" s="367"/>
      <c r="G64" s="367"/>
      <c r="H64" s="367"/>
      <c r="I64" s="367"/>
      <c r="J64" s="367"/>
      <c r="K64" s="367"/>
      <c r="L64" s="367"/>
      <c r="M64" s="178">
        <f>SUM(M59:M63)</f>
        <v>0</v>
      </c>
    </row>
    <row r="65" spans="4:13" s="1" customFormat="1" ht="21.95" customHeight="1" x14ac:dyDescent="0.2"/>
    <row r="66" spans="4:13" s="1" customFormat="1" ht="18" customHeight="1" x14ac:dyDescent="0.2">
      <c r="D66" s="361" t="s">
        <v>2816</v>
      </c>
      <c r="E66" s="361"/>
      <c r="F66" s="361"/>
      <c r="G66" s="361"/>
      <c r="H66" s="361"/>
      <c r="I66" s="361"/>
      <c r="J66" s="361"/>
      <c r="K66" s="361"/>
      <c r="L66" s="361"/>
      <c r="M66" s="361"/>
    </row>
    <row r="67" spans="4:13" s="1" customFormat="1" ht="42.75" customHeight="1" x14ac:dyDescent="0.2">
      <c r="D67" s="382" t="s">
        <v>2965</v>
      </c>
      <c r="E67" s="383"/>
      <c r="F67" s="383"/>
      <c r="G67" s="383"/>
      <c r="H67" s="383"/>
      <c r="I67" s="383"/>
      <c r="J67" s="383"/>
      <c r="K67" s="383"/>
      <c r="L67" s="383"/>
      <c r="M67" s="384"/>
    </row>
    <row r="68" spans="4:13" s="1" customFormat="1" ht="3.95" customHeight="1" x14ac:dyDescent="0.2"/>
    <row r="69" spans="4:13" s="177" customFormat="1" ht="18" customHeight="1" x14ac:dyDescent="0.25">
      <c r="D69" s="186" t="s">
        <v>2788</v>
      </c>
      <c r="E69" s="381" t="s">
        <v>2815</v>
      </c>
      <c r="F69" s="381"/>
      <c r="G69" s="381"/>
      <c r="H69" s="381"/>
      <c r="I69" s="381"/>
      <c r="J69" s="381"/>
      <c r="K69" s="381"/>
      <c r="L69" s="180" t="s">
        <v>2814</v>
      </c>
      <c r="M69" s="180" t="s">
        <v>2600</v>
      </c>
    </row>
    <row r="70" spans="4:13" s="177" customFormat="1" ht="18" customHeight="1" x14ac:dyDescent="0.25">
      <c r="D70" s="185"/>
      <c r="E70" s="368"/>
      <c r="F70" s="380"/>
      <c r="G70" s="380"/>
      <c r="H70" s="380"/>
      <c r="I70" s="380"/>
      <c r="J70" s="380"/>
      <c r="K70" s="369"/>
      <c r="L70" s="189"/>
      <c r="M70" s="188"/>
    </row>
    <row r="71" spans="4:13" s="177" customFormat="1" ht="18" customHeight="1" x14ac:dyDescent="0.25">
      <c r="D71" s="185"/>
      <c r="E71" s="368"/>
      <c r="F71" s="380"/>
      <c r="G71" s="380"/>
      <c r="H71" s="380"/>
      <c r="I71" s="380"/>
      <c r="J71" s="380"/>
      <c r="K71" s="369"/>
      <c r="L71" s="189"/>
      <c r="M71" s="188"/>
    </row>
    <row r="72" spans="4:13" s="177" customFormat="1" ht="18" customHeight="1" x14ac:dyDescent="0.25">
      <c r="D72" s="185"/>
      <c r="E72" s="368"/>
      <c r="F72" s="380"/>
      <c r="G72" s="380"/>
      <c r="H72" s="380"/>
      <c r="I72" s="380"/>
      <c r="J72" s="380"/>
      <c r="K72" s="369"/>
      <c r="L72" s="189"/>
      <c r="M72" s="188"/>
    </row>
    <row r="73" spans="4:13" s="177" customFormat="1" ht="18" customHeight="1" x14ac:dyDescent="0.25">
      <c r="D73" s="185"/>
      <c r="E73" s="368"/>
      <c r="F73" s="380"/>
      <c r="G73" s="380"/>
      <c r="H73" s="380"/>
      <c r="I73" s="380"/>
      <c r="J73" s="380"/>
      <c r="K73" s="369"/>
      <c r="L73" s="189"/>
      <c r="M73" s="188"/>
    </row>
    <row r="74" spans="4:13" s="177" customFormat="1" ht="18" customHeight="1" x14ac:dyDescent="0.25">
      <c r="D74" s="185"/>
      <c r="E74" s="368"/>
      <c r="F74" s="380"/>
      <c r="G74" s="380"/>
      <c r="H74" s="380"/>
      <c r="I74" s="380"/>
      <c r="J74" s="380"/>
      <c r="K74" s="369"/>
      <c r="L74" s="189"/>
      <c r="M74" s="188"/>
    </row>
    <row r="75" spans="4:13" s="177" customFormat="1" ht="18" customHeight="1" x14ac:dyDescent="0.25">
      <c r="D75" s="367" t="s">
        <v>2813</v>
      </c>
      <c r="E75" s="367"/>
      <c r="F75" s="367"/>
      <c r="G75" s="367"/>
      <c r="H75" s="367"/>
      <c r="I75" s="367"/>
      <c r="J75" s="367"/>
      <c r="K75" s="367"/>
      <c r="L75" s="367"/>
      <c r="M75" s="178">
        <f>SUM(ICW!$M$70:$M$74)</f>
        <v>0</v>
      </c>
    </row>
    <row r="76" spans="4:13" s="1" customFormat="1" ht="9" customHeight="1" x14ac:dyDescent="0.2"/>
    <row r="77" spans="4:13" s="1" customFormat="1" ht="18" customHeight="1" x14ac:dyDescent="0.2">
      <c r="D77" s="385" t="s">
        <v>2812</v>
      </c>
      <c r="E77" s="385"/>
      <c r="F77" s="385"/>
      <c r="G77" s="385"/>
      <c r="H77" s="385"/>
      <c r="I77" s="385"/>
      <c r="J77" s="385"/>
      <c r="K77" s="385"/>
      <c r="L77" s="385"/>
      <c r="M77" s="385"/>
    </row>
    <row r="78" spans="4:13" s="1" customFormat="1" ht="9" customHeight="1" x14ac:dyDescent="0.2"/>
    <row r="79" spans="4:13" s="1" customFormat="1" ht="18" customHeight="1" x14ac:dyDescent="0.2">
      <c r="D79" s="361" t="s">
        <v>2794</v>
      </c>
      <c r="E79" s="361"/>
      <c r="F79" s="361"/>
      <c r="G79" s="361"/>
      <c r="H79" s="361"/>
      <c r="I79" s="361"/>
      <c r="J79" s="361"/>
      <c r="K79" s="361"/>
      <c r="L79" s="361"/>
      <c r="M79" s="361"/>
    </row>
    <row r="80" spans="4:13" s="1" customFormat="1" ht="123.75" customHeight="1" x14ac:dyDescent="0.2">
      <c r="D80" s="362" t="s">
        <v>2966</v>
      </c>
      <c r="E80" s="363"/>
      <c r="F80" s="363"/>
      <c r="G80" s="363"/>
      <c r="H80" s="363"/>
      <c r="I80" s="363"/>
      <c r="J80" s="363"/>
      <c r="K80" s="363"/>
      <c r="L80" s="363"/>
      <c r="M80" s="364"/>
    </row>
    <row r="81" spans="4:13" s="1" customFormat="1" ht="3.95" customHeight="1" x14ac:dyDescent="0.2"/>
    <row r="82" spans="4:13" s="177" customFormat="1" ht="18" customHeight="1" x14ac:dyDescent="0.2">
      <c r="D82" s="377" t="s">
        <v>2788</v>
      </c>
      <c r="E82" s="379"/>
      <c r="F82" s="377" t="s">
        <v>2811</v>
      </c>
      <c r="G82" s="386"/>
      <c r="H82" s="386"/>
      <c r="I82" s="387"/>
      <c r="J82" s="365" t="s">
        <v>2802</v>
      </c>
      <c r="K82" s="365"/>
      <c r="L82" s="180" t="s">
        <v>2801</v>
      </c>
      <c r="M82" s="180" t="s">
        <v>2797</v>
      </c>
    </row>
    <row r="83" spans="4:13" s="177" customFormat="1" ht="18" customHeight="1" x14ac:dyDescent="0.25">
      <c r="D83" s="368"/>
      <c r="E83" s="369"/>
      <c r="F83" s="371"/>
      <c r="G83" s="371"/>
      <c r="H83" s="371"/>
      <c r="I83" s="371"/>
      <c r="J83" s="366"/>
      <c r="K83" s="366"/>
      <c r="L83" s="187"/>
      <c r="M83" s="182" t="str">
        <f>IF(AND(J83&lt;&gt;"",L83&lt;&gt;""),L83*VLOOKUP(J83,'$DB.LOOKUP.ICW'!C:D,2,FALSE),"")</f>
        <v/>
      </c>
    </row>
    <row r="84" spans="4:13" s="177" customFormat="1" ht="18" customHeight="1" x14ac:dyDescent="0.25">
      <c r="D84" s="368"/>
      <c r="E84" s="369"/>
      <c r="F84" s="371"/>
      <c r="G84" s="371"/>
      <c r="H84" s="371"/>
      <c r="I84" s="371"/>
      <c r="J84" s="366"/>
      <c r="K84" s="366"/>
      <c r="L84" s="187"/>
      <c r="M84" s="182" t="str">
        <f>IF(AND(J84&lt;&gt;"",L84&lt;&gt;""),L84*VLOOKUP(J84,'$DB.LOOKUP.ICW'!C:D,2,FALSE),"")</f>
        <v/>
      </c>
    </row>
    <row r="85" spans="4:13" s="177" customFormat="1" ht="18" customHeight="1" x14ac:dyDescent="0.25">
      <c r="D85" s="368"/>
      <c r="E85" s="369"/>
      <c r="F85" s="371"/>
      <c r="G85" s="371"/>
      <c r="H85" s="371"/>
      <c r="I85" s="371"/>
      <c r="J85" s="366"/>
      <c r="K85" s="366"/>
      <c r="L85" s="187"/>
      <c r="M85" s="182" t="str">
        <f>IF(AND(J85&lt;&gt;"",L85&lt;&gt;""),L85*VLOOKUP(J85,'$DB.LOOKUP.ICW'!C:D,2,FALSE),"")</f>
        <v/>
      </c>
    </row>
    <row r="86" spans="4:13" s="177" customFormat="1" ht="18" customHeight="1" x14ac:dyDescent="0.25">
      <c r="D86" s="368"/>
      <c r="E86" s="369"/>
      <c r="F86" s="371"/>
      <c r="G86" s="371"/>
      <c r="H86" s="371"/>
      <c r="I86" s="371"/>
      <c r="J86" s="366"/>
      <c r="K86" s="366"/>
      <c r="L86" s="187"/>
      <c r="M86" s="182" t="str">
        <f>IF(AND(J86&lt;&gt;"",L86&lt;&gt;""),L86*VLOOKUP(J86,'$DB.LOOKUP.ICW'!C:D,2,FALSE),"")</f>
        <v/>
      </c>
    </row>
    <row r="87" spans="4:13" s="177" customFormat="1" ht="18" customHeight="1" x14ac:dyDescent="0.25">
      <c r="D87" s="368"/>
      <c r="E87" s="369"/>
      <c r="F87" s="371"/>
      <c r="G87" s="371"/>
      <c r="H87" s="371"/>
      <c r="I87" s="371"/>
      <c r="J87" s="366"/>
      <c r="K87" s="366"/>
      <c r="L87" s="187"/>
      <c r="M87" s="182" t="str">
        <f>IF(AND(J87&lt;&gt;"",L87&lt;&gt;""),L87*VLOOKUP(J87,'$DB.LOOKUP.ICW'!C:D,2,FALSE),"")</f>
        <v/>
      </c>
    </row>
    <row r="88" spans="4:13" s="177" customFormat="1" ht="18" customHeight="1" x14ac:dyDescent="0.25">
      <c r="D88" s="367" t="s">
        <v>2810</v>
      </c>
      <c r="E88" s="367"/>
      <c r="F88" s="367"/>
      <c r="G88" s="367"/>
      <c r="H88" s="367"/>
      <c r="I88" s="367"/>
      <c r="J88" s="367"/>
      <c r="K88" s="367"/>
      <c r="L88" s="367"/>
      <c r="M88" s="178">
        <f>SUM(M83:M87)</f>
        <v>0</v>
      </c>
    </row>
    <row r="89" spans="4:13" s="1" customFormat="1" ht="9" customHeight="1" x14ac:dyDescent="0.2"/>
    <row r="90" spans="4:13" s="1" customFormat="1" ht="18" customHeight="1" x14ac:dyDescent="0.2">
      <c r="D90" s="385" t="s">
        <v>2809</v>
      </c>
      <c r="E90" s="385"/>
      <c r="F90" s="385"/>
      <c r="G90" s="385"/>
      <c r="H90" s="385"/>
      <c r="I90" s="385"/>
      <c r="J90" s="385"/>
      <c r="K90" s="385"/>
      <c r="L90" s="385"/>
      <c r="M90" s="385"/>
    </row>
    <row r="91" spans="4:13" s="1" customFormat="1" ht="9" customHeight="1" x14ac:dyDescent="0.2"/>
    <row r="92" spans="4:13" s="1" customFormat="1" ht="18" customHeight="1" x14ac:dyDescent="0.2">
      <c r="D92" s="361" t="s">
        <v>2794</v>
      </c>
      <c r="E92" s="361"/>
      <c r="F92" s="361"/>
      <c r="G92" s="361"/>
      <c r="H92" s="361"/>
      <c r="I92" s="361"/>
      <c r="J92" s="361"/>
      <c r="K92" s="361"/>
      <c r="L92" s="361"/>
      <c r="M92" s="361"/>
    </row>
    <row r="93" spans="4:13" s="1" customFormat="1" ht="205.5" customHeight="1" x14ac:dyDescent="0.2">
      <c r="D93" s="362" t="s">
        <v>2967</v>
      </c>
      <c r="E93" s="363"/>
      <c r="F93" s="363"/>
      <c r="G93" s="363"/>
      <c r="H93" s="363"/>
      <c r="I93" s="363"/>
      <c r="J93" s="363"/>
      <c r="K93" s="363"/>
      <c r="L93" s="363"/>
      <c r="M93" s="364"/>
    </row>
    <row r="94" spans="4:13" s="1" customFormat="1" ht="3.95" customHeight="1" x14ac:dyDescent="0.2"/>
    <row r="95" spans="4:13" s="177" customFormat="1" ht="18" customHeight="1" x14ac:dyDescent="0.25">
      <c r="D95" s="186" t="s">
        <v>2788</v>
      </c>
      <c r="E95" s="377" t="s">
        <v>2808</v>
      </c>
      <c r="F95" s="378"/>
      <c r="G95" s="378"/>
      <c r="H95" s="378"/>
      <c r="I95" s="378"/>
      <c r="J95" s="379"/>
      <c r="K95" s="180" t="s">
        <v>2807</v>
      </c>
      <c r="L95" s="180" t="s">
        <v>2806</v>
      </c>
      <c r="M95" s="180" t="s">
        <v>2797</v>
      </c>
    </row>
    <row r="96" spans="4:13" s="177" customFormat="1" ht="18" customHeight="1" x14ac:dyDescent="0.25">
      <c r="D96" s="185"/>
      <c r="E96" s="368"/>
      <c r="F96" s="380"/>
      <c r="G96" s="380"/>
      <c r="H96" s="380"/>
      <c r="I96" s="380"/>
      <c r="J96" s="369"/>
      <c r="K96" s="184"/>
      <c r="L96" s="183"/>
      <c r="M96" s="182" t="str">
        <f>IF(AND(K96&lt;&gt;"",L96&lt;&gt;""),L96/(K96/12),"")</f>
        <v/>
      </c>
    </row>
    <row r="97" spans="4:13" s="177" customFormat="1" ht="18" customHeight="1" x14ac:dyDescent="0.25">
      <c r="D97" s="185"/>
      <c r="E97" s="368"/>
      <c r="F97" s="380"/>
      <c r="G97" s="380"/>
      <c r="H97" s="380"/>
      <c r="I97" s="380"/>
      <c r="J97" s="369"/>
      <c r="K97" s="184"/>
      <c r="L97" s="183"/>
      <c r="M97" s="182" t="str">
        <f>IF(AND(K97&lt;&gt;"",L97&lt;&gt;""),L97/(K97/12),"")</f>
        <v/>
      </c>
    </row>
    <row r="98" spans="4:13" s="177" customFormat="1" ht="18" customHeight="1" x14ac:dyDescent="0.25">
      <c r="D98" s="185"/>
      <c r="E98" s="368"/>
      <c r="F98" s="380"/>
      <c r="G98" s="380"/>
      <c r="H98" s="380"/>
      <c r="I98" s="380"/>
      <c r="J98" s="369"/>
      <c r="K98" s="184"/>
      <c r="L98" s="183"/>
      <c r="M98" s="182" t="str">
        <f>IF(AND(K98&lt;&gt;"",L98&lt;&gt;""),L98/(K98/12),"")</f>
        <v/>
      </c>
    </row>
    <row r="99" spans="4:13" s="177" customFormat="1" ht="18" customHeight="1" x14ac:dyDescent="0.25">
      <c r="D99" s="185"/>
      <c r="E99" s="368"/>
      <c r="F99" s="380"/>
      <c r="G99" s="380"/>
      <c r="H99" s="380"/>
      <c r="I99" s="380"/>
      <c r="J99" s="369"/>
      <c r="K99" s="184"/>
      <c r="L99" s="183"/>
      <c r="M99" s="182" t="str">
        <f>IF(AND(K99&lt;&gt;"",L99&lt;&gt;""),L99/(K99/12),"")</f>
        <v/>
      </c>
    </row>
    <row r="100" spans="4:13" s="177" customFormat="1" ht="18" customHeight="1" x14ac:dyDescent="0.25">
      <c r="D100" s="367" t="s">
        <v>2805</v>
      </c>
      <c r="E100" s="367"/>
      <c r="F100" s="367"/>
      <c r="G100" s="367"/>
      <c r="H100" s="367"/>
      <c r="I100" s="367"/>
      <c r="J100" s="367"/>
      <c r="K100" s="367"/>
      <c r="L100" s="367"/>
      <c r="M100" s="178">
        <f>SUM(M96:M99)</f>
        <v>0</v>
      </c>
    </row>
    <row r="101" spans="4:13" s="1" customFormat="1" ht="9" customHeight="1" x14ac:dyDescent="0.2"/>
    <row r="102" spans="4:13" s="1" customFormat="1" ht="18" customHeight="1" x14ac:dyDescent="0.2">
      <c r="D102" s="385" t="s">
        <v>2804</v>
      </c>
      <c r="E102" s="385"/>
      <c r="F102" s="385"/>
      <c r="G102" s="385"/>
      <c r="H102" s="385"/>
      <c r="I102" s="385"/>
      <c r="J102" s="385"/>
      <c r="K102" s="385"/>
      <c r="L102" s="385"/>
      <c r="M102" s="385"/>
    </row>
    <row r="103" spans="4:13" s="1" customFormat="1" ht="9" customHeight="1" x14ac:dyDescent="0.2"/>
    <row r="104" spans="4:13" s="1" customFormat="1" ht="18" customHeight="1" x14ac:dyDescent="0.2">
      <c r="D104" s="361" t="s">
        <v>2794</v>
      </c>
      <c r="E104" s="361"/>
      <c r="F104" s="361"/>
      <c r="G104" s="361"/>
      <c r="H104" s="361"/>
      <c r="I104" s="361"/>
      <c r="J104" s="361"/>
      <c r="K104" s="361"/>
      <c r="L104" s="361"/>
      <c r="M104" s="361"/>
    </row>
    <row r="105" spans="4:13" s="77" customFormat="1" ht="146.25" customHeight="1" x14ac:dyDescent="0.25">
      <c r="D105" s="362" t="s">
        <v>2968</v>
      </c>
      <c r="E105" s="363"/>
      <c r="F105" s="363"/>
      <c r="G105" s="363"/>
      <c r="H105" s="363"/>
      <c r="I105" s="363"/>
      <c r="J105" s="363"/>
      <c r="K105" s="363"/>
      <c r="L105" s="363"/>
      <c r="M105" s="364"/>
    </row>
    <row r="106" spans="4:13" s="1" customFormat="1" ht="3.95" customHeight="1" x14ac:dyDescent="0.2"/>
    <row r="107" spans="4:13" s="177" customFormat="1" ht="18" customHeight="1" x14ac:dyDescent="0.25">
      <c r="D107" s="377" t="s">
        <v>2788</v>
      </c>
      <c r="E107" s="379"/>
      <c r="F107" s="381" t="s">
        <v>2803</v>
      </c>
      <c r="G107" s="381"/>
      <c r="H107" s="381"/>
      <c r="I107" s="381"/>
      <c r="J107" s="365" t="s">
        <v>2802</v>
      </c>
      <c r="K107" s="365"/>
      <c r="L107" s="180" t="s">
        <v>2801</v>
      </c>
      <c r="M107" s="180" t="s">
        <v>2797</v>
      </c>
    </row>
    <row r="108" spans="4:13" s="177" customFormat="1" ht="18" customHeight="1" x14ac:dyDescent="0.25">
      <c r="D108" s="368"/>
      <c r="E108" s="369"/>
      <c r="F108" s="371"/>
      <c r="G108" s="371"/>
      <c r="H108" s="371"/>
      <c r="I108" s="371"/>
      <c r="J108" s="366"/>
      <c r="K108" s="366"/>
      <c r="L108" s="181"/>
      <c r="M108" s="182" t="str">
        <f>IF(AND(J108&lt;&gt;"",L108&lt;&gt;""),L108*VLOOKUP(J108,'$DB.LOOKUP.ICW'!C:D,2,FALSE),"")</f>
        <v/>
      </c>
    </row>
    <row r="109" spans="4:13" s="177" customFormat="1" ht="18" customHeight="1" x14ac:dyDescent="0.25">
      <c r="D109" s="368"/>
      <c r="E109" s="369"/>
      <c r="F109" s="371"/>
      <c r="G109" s="371"/>
      <c r="H109" s="371"/>
      <c r="I109" s="371"/>
      <c r="J109" s="366"/>
      <c r="K109" s="366"/>
      <c r="L109" s="181"/>
      <c r="M109" s="182" t="str">
        <f>IF(AND(J109&lt;&gt;"",L109&lt;&gt;""),L109*VLOOKUP(J109,'$DB.LOOKUP.ICW'!C:D,2,FALSE),"")</f>
        <v/>
      </c>
    </row>
    <row r="110" spans="4:13" s="177" customFormat="1" ht="18" customHeight="1" x14ac:dyDescent="0.25">
      <c r="D110" s="368"/>
      <c r="E110" s="369"/>
      <c r="F110" s="371"/>
      <c r="G110" s="371"/>
      <c r="H110" s="371"/>
      <c r="I110" s="371"/>
      <c r="J110" s="366"/>
      <c r="K110" s="366"/>
      <c r="L110" s="181"/>
      <c r="M110" s="182" t="str">
        <f>IF(AND(J110&lt;&gt;"",L110&lt;&gt;""),L110*VLOOKUP(J110,'$DB.LOOKUP.ICW'!C:D,2,FALSE),"")</f>
        <v/>
      </c>
    </row>
    <row r="111" spans="4:13" s="177" customFormat="1" ht="18" customHeight="1" x14ac:dyDescent="0.25">
      <c r="D111" s="368"/>
      <c r="E111" s="369"/>
      <c r="F111" s="371"/>
      <c r="G111" s="371"/>
      <c r="H111" s="371"/>
      <c r="I111" s="371"/>
      <c r="J111" s="366"/>
      <c r="K111" s="366"/>
      <c r="L111" s="181"/>
      <c r="M111" s="182" t="str">
        <f>IF(AND(J111&lt;&gt;"",L111&lt;&gt;""),L111*VLOOKUP(J111,'$DB.LOOKUP.ICW'!C:D,2,FALSE),"")</f>
        <v/>
      </c>
    </row>
    <row r="112" spans="4:13" s="177" customFormat="1" ht="18" customHeight="1" x14ac:dyDescent="0.25">
      <c r="D112" s="367" t="s">
        <v>2800</v>
      </c>
      <c r="E112" s="367"/>
      <c r="F112" s="367"/>
      <c r="G112" s="367"/>
      <c r="H112" s="367"/>
      <c r="I112" s="367"/>
      <c r="J112" s="367"/>
      <c r="K112" s="367"/>
      <c r="L112" s="367"/>
      <c r="M112" s="178">
        <f>SUM(M108:M111)</f>
        <v>0</v>
      </c>
    </row>
    <row r="113" spans="4:13" s="1" customFormat="1" ht="9" customHeight="1" x14ac:dyDescent="0.2"/>
    <row r="114" spans="4:13" s="1" customFormat="1" ht="18" customHeight="1" x14ac:dyDescent="0.2">
      <c r="D114" s="385" t="s">
        <v>2799</v>
      </c>
      <c r="E114" s="385"/>
      <c r="F114" s="385"/>
      <c r="G114" s="385"/>
      <c r="H114" s="385"/>
      <c r="I114" s="385"/>
      <c r="J114" s="385"/>
      <c r="K114" s="385"/>
      <c r="L114" s="385"/>
      <c r="M114" s="385"/>
    </row>
    <row r="115" spans="4:13" s="1" customFormat="1" ht="9" customHeight="1" x14ac:dyDescent="0.2"/>
    <row r="116" spans="4:13" s="1" customFormat="1" ht="18" customHeight="1" x14ac:dyDescent="0.2">
      <c r="D116" s="361" t="s">
        <v>2794</v>
      </c>
      <c r="E116" s="361"/>
      <c r="F116" s="361"/>
      <c r="G116" s="361"/>
      <c r="H116" s="361"/>
      <c r="I116" s="361"/>
      <c r="J116" s="361"/>
      <c r="K116" s="361"/>
      <c r="L116" s="361"/>
      <c r="M116" s="361"/>
    </row>
    <row r="117" spans="4:13" s="1" customFormat="1" ht="183.75" customHeight="1" x14ac:dyDescent="0.2">
      <c r="D117" s="362" t="s">
        <v>2969</v>
      </c>
      <c r="E117" s="363"/>
      <c r="F117" s="363"/>
      <c r="G117" s="363"/>
      <c r="H117" s="363"/>
      <c r="I117" s="363"/>
      <c r="J117" s="363"/>
      <c r="K117" s="363"/>
      <c r="L117" s="363"/>
      <c r="M117" s="364"/>
    </row>
    <row r="118" spans="4:13" s="1" customFormat="1" ht="3.95" customHeight="1" x14ac:dyDescent="0.2"/>
    <row r="119" spans="4:13" s="177" customFormat="1" ht="18" customHeight="1" x14ac:dyDescent="0.25">
      <c r="D119" s="377" t="s">
        <v>2788</v>
      </c>
      <c r="E119" s="379"/>
      <c r="F119" s="381" t="s">
        <v>2798</v>
      </c>
      <c r="G119" s="381"/>
      <c r="H119" s="381"/>
      <c r="I119" s="381"/>
      <c r="J119" s="381"/>
      <c r="K119" s="381"/>
      <c r="L119" s="381"/>
      <c r="M119" s="180" t="s">
        <v>2797</v>
      </c>
    </row>
    <row r="120" spans="4:13" s="177" customFormat="1" ht="18" customHeight="1" x14ac:dyDescent="0.25">
      <c r="D120" s="368"/>
      <c r="E120" s="369"/>
      <c r="F120" s="370"/>
      <c r="G120" s="370"/>
      <c r="H120" s="370"/>
      <c r="I120" s="370"/>
      <c r="J120" s="370"/>
      <c r="K120" s="370"/>
      <c r="L120" s="370"/>
      <c r="M120" s="181"/>
    </row>
    <row r="121" spans="4:13" s="177" customFormat="1" ht="18" customHeight="1" x14ac:dyDescent="0.25">
      <c r="D121" s="368"/>
      <c r="E121" s="369"/>
      <c r="F121" s="370"/>
      <c r="G121" s="370"/>
      <c r="H121" s="370"/>
      <c r="I121" s="370"/>
      <c r="J121" s="370"/>
      <c r="K121" s="370"/>
      <c r="L121" s="370"/>
      <c r="M121" s="181"/>
    </row>
    <row r="122" spans="4:13" s="177" customFormat="1" ht="18" customHeight="1" x14ac:dyDescent="0.25">
      <c r="D122" s="368"/>
      <c r="E122" s="369"/>
      <c r="F122" s="370"/>
      <c r="G122" s="370"/>
      <c r="H122" s="370"/>
      <c r="I122" s="370"/>
      <c r="J122" s="370"/>
      <c r="K122" s="370"/>
      <c r="L122" s="370"/>
      <c r="M122" s="181"/>
    </row>
    <row r="123" spans="4:13" s="177" customFormat="1" ht="18" customHeight="1" x14ac:dyDescent="0.25">
      <c r="D123" s="368"/>
      <c r="E123" s="369"/>
      <c r="F123" s="370"/>
      <c r="G123" s="370"/>
      <c r="H123" s="370"/>
      <c r="I123" s="370"/>
      <c r="J123" s="370"/>
      <c r="K123" s="370"/>
      <c r="L123" s="370"/>
      <c r="M123" s="181"/>
    </row>
    <row r="124" spans="4:13" s="177" customFormat="1" ht="18" customHeight="1" x14ac:dyDescent="0.25">
      <c r="D124" s="368"/>
      <c r="E124" s="369"/>
      <c r="F124" s="370"/>
      <c r="G124" s="370"/>
      <c r="H124" s="370"/>
      <c r="I124" s="370"/>
      <c r="J124" s="370"/>
      <c r="K124" s="370"/>
      <c r="L124" s="370"/>
      <c r="M124" s="181"/>
    </row>
    <row r="125" spans="4:13" s="177" customFormat="1" ht="18" customHeight="1" x14ac:dyDescent="0.25">
      <c r="D125" s="367" t="s">
        <v>2796</v>
      </c>
      <c r="E125" s="367"/>
      <c r="F125" s="367"/>
      <c r="G125" s="367"/>
      <c r="H125" s="367"/>
      <c r="I125" s="367"/>
      <c r="J125" s="367"/>
      <c r="K125" s="367"/>
      <c r="L125" s="367"/>
      <c r="M125" s="178">
        <f>SUM(M120:M124)</f>
        <v>0</v>
      </c>
    </row>
    <row r="126" spans="4:13" s="1" customFormat="1" ht="9" customHeight="1" x14ac:dyDescent="0.2"/>
    <row r="127" spans="4:13" s="1" customFormat="1" ht="18" customHeight="1" x14ac:dyDescent="0.2">
      <c r="D127" s="385" t="s">
        <v>2795</v>
      </c>
      <c r="E127" s="385"/>
      <c r="F127" s="385"/>
      <c r="G127" s="385"/>
      <c r="H127" s="385"/>
      <c r="I127" s="385"/>
      <c r="J127" s="385"/>
      <c r="K127" s="385"/>
      <c r="L127" s="385"/>
      <c r="M127" s="385"/>
    </row>
    <row r="128" spans="4:13" s="1" customFormat="1" ht="9" customHeight="1" x14ac:dyDescent="0.2"/>
    <row r="129" spans="4:13" s="1" customFormat="1" ht="18" customHeight="1" x14ac:dyDescent="0.2">
      <c r="D129" s="361" t="s">
        <v>2794</v>
      </c>
      <c r="E129" s="361"/>
      <c r="F129" s="361"/>
      <c r="G129" s="361"/>
      <c r="H129" s="361"/>
      <c r="I129" s="361"/>
      <c r="J129" s="361"/>
      <c r="K129" s="361"/>
      <c r="L129" s="361"/>
      <c r="M129" s="361"/>
    </row>
    <row r="130" spans="4:13" s="1" customFormat="1" ht="45.75" customHeight="1" x14ac:dyDescent="0.2">
      <c r="D130" s="362" t="s">
        <v>2970</v>
      </c>
      <c r="E130" s="363"/>
      <c r="F130" s="363"/>
      <c r="G130" s="363"/>
      <c r="H130" s="363"/>
      <c r="I130" s="363"/>
      <c r="J130" s="363"/>
      <c r="K130" s="363"/>
      <c r="L130" s="363"/>
      <c r="M130" s="364"/>
    </row>
    <row r="131" spans="4:13" s="1" customFormat="1" ht="3.95" customHeight="1" x14ac:dyDescent="0.2"/>
    <row r="132" spans="4:13" s="177" customFormat="1" ht="18" customHeight="1" x14ac:dyDescent="0.25">
      <c r="D132" s="381" t="s">
        <v>2788</v>
      </c>
      <c r="E132" s="381"/>
      <c r="F132" s="381"/>
      <c r="G132" s="381"/>
      <c r="H132" s="381"/>
      <c r="I132" s="365" t="s">
        <v>2793</v>
      </c>
      <c r="J132" s="365"/>
      <c r="K132" s="365" t="s">
        <v>2792</v>
      </c>
      <c r="L132" s="365"/>
      <c r="M132" s="180" t="s">
        <v>2791</v>
      </c>
    </row>
    <row r="133" spans="4:13" s="177" customFormat="1" ht="18" customHeight="1" x14ac:dyDescent="0.25">
      <c r="D133" s="371"/>
      <c r="E133" s="371"/>
      <c r="F133" s="371"/>
      <c r="G133" s="371"/>
      <c r="H133" s="371"/>
      <c r="I133" s="376"/>
      <c r="J133" s="376"/>
      <c r="K133" s="375" t="str">
        <f>IF(I133&lt;&gt;"",I133*0.75,"")</f>
        <v/>
      </c>
      <c r="L133" s="375"/>
      <c r="M133" s="179" t="str">
        <f>IF(K133&lt;&gt;"",K133*12,"")</f>
        <v/>
      </c>
    </row>
    <row r="134" spans="4:13" s="177" customFormat="1" ht="18" customHeight="1" x14ac:dyDescent="0.25">
      <c r="D134" s="371"/>
      <c r="E134" s="371"/>
      <c r="F134" s="371"/>
      <c r="G134" s="371"/>
      <c r="H134" s="371"/>
      <c r="I134" s="376"/>
      <c r="J134" s="376"/>
      <c r="K134" s="375" t="str">
        <f>IF(I134&lt;&gt;"",I134*0.75,"")</f>
        <v/>
      </c>
      <c r="L134" s="375"/>
      <c r="M134" s="179" t="str">
        <f>IF(K134&lt;&gt;"",K134*12,"")</f>
        <v/>
      </c>
    </row>
    <row r="135" spans="4:13" s="177" customFormat="1" ht="18" customHeight="1" x14ac:dyDescent="0.25">
      <c r="D135" s="371"/>
      <c r="E135" s="371"/>
      <c r="F135" s="371"/>
      <c r="G135" s="371"/>
      <c r="H135" s="371"/>
      <c r="I135" s="376"/>
      <c r="J135" s="376"/>
      <c r="K135" s="375" t="str">
        <f>IF(I135&lt;&gt;"",I135*0.75,"")</f>
        <v/>
      </c>
      <c r="L135" s="375"/>
      <c r="M135" s="179" t="str">
        <f>IF(K135&lt;&gt;"",K135*12,"")</f>
        <v/>
      </c>
    </row>
    <row r="136" spans="4:13" s="177" customFormat="1" ht="18" customHeight="1" x14ac:dyDescent="0.25">
      <c r="D136" s="367" t="s">
        <v>2790</v>
      </c>
      <c r="E136" s="367"/>
      <c r="F136" s="367"/>
      <c r="G136" s="367"/>
      <c r="H136" s="367"/>
      <c r="I136" s="367"/>
      <c r="J136" s="367"/>
      <c r="K136" s="367"/>
      <c r="L136" s="367"/>
      <c r="M136" s="178">
        <f>SUM(M133:M135)</f>
        <v>0</v>
      </c>
    </row>
    <row r="137" spans="4:13" s="1" customFormat="1" ht="9" customHeight="1" x14ac:dyDescent="0.2"/>
    <row r="138" spans="4:13" s="1" customFormat="1" ht="18" customHeight="1" x14ac:dyDescent="0.2">
      <c r="D138" s="385" t="s">
        <v>2789</v>
      </c>
      <c r="E138" s="385"/>
      <c r="F138" s="385"/>
      <c r="G138" s="385"/>
      <c r="H138" s="385"/>
      <c r="I138" s="385"/>
      <c r="J138" s="385"/>
      <c r="K138" s="385"/>
      <c r="L138" s="385"/>
      <c r="M138" s="385"/>
    </row>
    <row r="139" spans="4:13" s="1" customFormat="1" ht="9" customHeight="1" x14ac:dyDescent="0.2"/>
    <row r="140" spans="4:13" s="1" customFormat="1" ht="18" customHeight="1" x14ac:dyDescent="0.2">
      <c r="D140" s="361" t="s">
        <v>2383</v>
      </c>
      <c r="E140" s="361"/>
      <c r="F140" s="361"/>
      <c r="G140" s="361"/>
      <c r="H140" s="361"/>
      <c r="I140" s="361"/>
      <c r="J140" s="361"/>
      <c r="K140" s="361"/>
      <c r="L140" s="361"/>
      <c r="M140" s="361"/>
    </row>
    <row r="141" spans="4:13" s="1" customFormat="1" ht="33.75" customHeight="1" x14ac:dyDescent="0.2">
      <c r="D141" s="362" t="s">
        <v>2971</v>
      </c>
      <c r="E141" s="363"/>
      <c r="F141" s="363"/>
      <c r="G141" s="363"/>
      <c r="H141" s="363"/>
      <c r="I141" s="363"/>
      <c r="J141" s="363"/>
      <c r="K141" s="363"/>
      <c r="L141" s="363"/>
      <c r="M141" s="364"/>
    </row>
    <row r="142" spans="4:13" s="1" customFormat="1" ht="3.95" customHeight="1" x14ac:dyDescent="0.2"/>
    <row r="143" spans="4:13" s="1" customFormat="1" ht="18" customHeight="1" x14ac:dyDescent="0.2">
      <c r="D143" s="381" t="s">
        <v>2788</v>
      </c>
      <c r="E143" s="381"/>
      <c r="F143" s="381"/>
      <c r="G143" s="381"/>
      <c r="H143" s="381"/>
      <c r="I143" s="381"/>
      <c r="J143" s="381"/>
      <c r="K143" s="381"/>
      <c r="L143" s="381"/>
      <c r="M143" s="381"/>
    </row>
    <row r="144" spans="4:13" s="1" customFormat="1" ht="18" customHeight="1" x14ac:dyDescent="0.2">
      <c r="D144" s="371"/>
      <c r="E144" s="371"/>
      <c r="F144" s="371"/>
      <c r="G144" s="371"/>
      <c r="H144" s="371"/>
      <c r="I144" s="371"/>
      <c r="J144" s="371"/>
      <c r="K144" s="371"/>
      <c r="L144" s="371"/>
      <c r="M144" s="371"/>
    </row>
    <row r="145" spans="4:13" s="1" customFormat="1" ht="18" customHeight="1" x14ac:dyDescent="0.2">
      <c r="D145" s="371"/>
      <c r="E145" s="371"/>
      <c r="F145" s="371"/>
      <c r="G145" s="371"/>
      <c r="H145" s="371"/>
      <c r="I145" s="371"/>
      <c r="J145" s="371"/>
      <c r="K145" s="371"/>
      <c r="L145" s="371"/>
      <c r="M145" s="371"/>
    </row>
    <row r="146" spans="4:13" s="1" customFormat="1" ht="18" customHeight="1" x14ac:dyDescent="0.2">
      <c r="D146" s="371"/>
      <c r="E146" s="371"/>
      <c r="F146" s="371"/>
      <c r="G146" s="371"/>
      <c r="H146" s="371"/>
      <c r="I146" s="371"/>
      <c r="J146" s="371"/>
      <c r="K146" s="371"/>
      <c r="L146" s="371"/>
      <c r="M146" s="371"/>
    </row>
    <row r="147" spans="4:13" s="1" customFormat="1" ht="18" customHeight="1" x14ac:dyDescent="0.2">
      <c r="D147" s="371"/>
      <c r="E147" s="371"/>
      <c r="F147" s="371"/>
      <c r="G147" s="371"/>
      <c r="H147" s="371"/>
      <c r="I147" s="371"/>
      <c r="J147" s="371"/>
      <c r="K147" s="371"/>
      <c r="L147" s="371"/>
      <c r="M147" s="371"/>
    </row>
    <row r="148" spans="4:13" s="1" customFormat="1" ht="18" customHeight="1" x14ac:dyDescent="0.2">
      <c r="D148" s="371"/>
      <c r="E148" s="371"/>
      <c r="F148" s="371"/>
      <c r="G148" s="371"/>
      <c r="H148" s="371"/>
      <c r="I148" s="371"/>
      <c r="J148" s="371"/>
      <c r="K148" s="371"/>
      <c r="L148" s="371"/>
      <c r="M148" s="371"/>
    </row>
    <row r="149" spans="4:13" ht="18" customHeight="1" x14ac:dyDescent="0.25"/>
    <row r="161" customFormat="1" hidden="1" x14ac:dyDescent="0.25"/>
  </sheetData>
  <sheetProtection algorithmName="SHA-512" hashValue="+Kh2dfi6uk/PlJoNmU+EI++P+3oPlOCb2Ay16ouHzTj4Ww06q1yy0nF5ZZ6rgkkPdOmufA9FhQ9voJFcVq5ttQ==" saltValue="pf9PKeXtR+zNjRaL7wpnpQ==" spinCount="100000" sheet="1" objects="1" scenarios="1"/>
  <dataConsolidate/>
  <mergeCells count="129">
    <mergeCell ref="D16:M16"/>
    <mergeCell ref="D17:M17"/>
    <mergeCell ref="K2:M2"/>
    <mergeCell ref="D145:M145"/>
    <mergeCell ref="D146:M146"/>
    <mergeCell ref="D147:M147"/>
    <mergeCell ref="D148:M148"/>
    <mergeCell ref="D56:M56"/>
    <mergeCell ref="D64:L64"/>
    <mergeCell ref="D138:M138"/>
    <mergeCell ref="D140:M140"/>
    <mergeCell ref="D141:M141"/>
    <mergeCell ref="D143:M143"/>
    <mergeCell ref="D144:M144"/>
    <mergeCell ref="D92:M92"/>
    <mergeCell ref="D93:M93"/>
    <mergeCell ref="F119:L119"/>
    <mergeCell ref="F107:I107"/>
    <mergeCell ref="D117:M117"/>
    <mergeCell ref="D123:E123"/>
    <mergeCell ref="D125:L125"/>
    <mergeCell ref="D82:E82"/>
    <mergeCell ref="D83:E83"/>
    <mergeCell ref="D84:E84"/>
    <mergeCell ref="D79:M79"/>
    <mergeCell ref="D80:M80"/>
    <mergeCell ref="D124:E124"/>
    <mergeCell ref="D114:M114"/>
    <mergeCell ref="D102:M102"/>
    <mergeCell ref="D105:M105"/>
    <mergeCell ref="D116:M116"/>
    <mergeCell ref="F108:I108"/>
    <mergeCell ref="F109:I109"/>
    <mergeCell ref="D107:E107"/>
    <mergeCell ref="D108:E108"/>
    <mergeCell ref="D6:M6"/>
    <mergeCell ref="D19:M19"/>
    <mergeCell ref="D21:M21"/>
    <mergeCell ref="D13:M13"/>
    <mergeCell ref="F8:H8"/>
    <mergeCell ref="F9:H9"/>
    <mergeCell ref="K11:M11"/>
    <mergeCell ref="D11:J11"/>
    <mergeCell ref="E71:K71"/>
    <mergeCell ref="E58:K58"/>
    <mergeCell ref="E59:K59"/>
    <mergeCell ref="E60:K60"/>
    <mergeCell ref="E61:K61"/>
    <mergeCell ref="E62:K62"/>
    <mergeCell ref="E63:K63"/>
    <mergeCell ref="E69:K69"/>
    <mergeCell ref="E70:K70"/>
    <mergeCell ref="D8:E8"/>
    <mergeCell ref="D9:E9"/>
    <mergeCell ref="D22:M22"/>
    <mergeCell ref="M50:M52"/>
    <mergeCell ref="M25:M27"/>
    <mergeCell ref="M30:M32"/>
    <mergeCell ref="M35:M37"/>
    <mergeCell ref="D133:H133"/>
    <mergeCell ref="D134:H134"/>
    <mergeCell ref="I133:J133"/>
    <mergeCell ref="I134:J134"/>
    <mergeCell ref="I132:J132"/>
    <mergeCell ref="D67:M67"/>
    <mergeCell ref="D90:M90"/>
    <mergeCell ref="D75:L75"/>
    <mergeCell ref="F121:L121"/>
    <mergeCell ref="E72:K72"/>
    <mergeCell ref="E73:K73"/>
    <mergeCell ref="E74:K74"/>
    <mergeCell ref="D77:M77"/>
    <mergeCell ref="F111:I111"/>
    <mergeCell ref="J111:K111"/>
    <mergeCell ref="F84:I84"/>
    <mergeCell ref="F82:I82"/>
    <mergeCell ref="D119:E119"/>
    <mergeCell ref="D120:E120"/>
    <mergeCell ref="D121:E121"/>
    <mergeCell ref="D122:E122"/>
    <mergeCell ref="K132:L132"/>
    <mergeCell ref="J87:K87"/>
    <mergeCell ref="D127:M127"/>
    <mergeCell ref="M40:M42"/>
    <mergeCell ref="M45:M47"/>
    <mergeCell ref="K133:L133"/>
    <mergeCell ref="K134:L134"/>
    <mergeCell ref="D136:L136"/>
    <mergeCell ref="D135:H135"/>
    <mergeCell ref="I135:J135"/>
    <mergeCell ref="K135:L135"/>
    <mergeCell ref="F124:L124"/>
    <mergeCell ref="F85:I85"/>
    <mergeCell ref="F86:I86"/>
    <mergeCell ref="D88:L88"/>
    <mergeCell ref="F87:I87"/>
    <mergeCell ref="F120:L120"/>
    <mergeCell ref="J110:K110"/>
    <mergeCell ref="E95:J95"/>
    <mergeCell ref="E96:J96"/>
    <mergeCell ref="E97:J97"/>
    <mergeCell ref="E98:J98"/>
    <mergeCell ref="E99:J99"/>
    <mergeCell ref="D132:H132"/>
    <mergeCell ref="D54:L54"/>
    <mergeCell ref="D66:M66"/>
    <mergeCell ref="F123:L123"/>
    <mergeCell ref="D129:M129"/>
    <mergeCell ref="D130:M130"/>
    <mergeCell ref="J82:K82"/>
    <mergeCell ref="J83:K83"/>
    <mergeCell ref="J84:K84"/>
    <mergeCell ref="J85:K85"/>
    <mergeCell ref="J86:K86"/>
    <mergeCell ref="D100:L100"/>
    <mergeCell ref="D112:L112"/>
    <mergeCell ref="D109:E109"/>
    <mergeCell ref="D110:E110"/>
    <mergeCell ref="D111:E111"/>
    <mergeCell ref="F122:L122"/>
    <mergeCell ref="D104:M104"/>
    <mergeCell ref="J108:K108"/>
    <mergeCell ref="J109:K109"/>
    <mergeCell ref="J107:K107"/>
    <mergeCell ref="F110:I110"/>
    <mergeCell ref="F83:I83"/>
    <mergeCell ref="D87:E87"/>
    <mergeCell ref="D85:E85"/>
    <mergeCell ref="D86:E86"/>
  </mergeCells>
  <conditionalFormatting sqref="L25 L30 L35 L40 L45 L50">
    <cfRule type="expression" dxfId="203" priority="2">
      <formula>IF($M25&lt;&gt;"",$I25&lt;=$L25,FALSE)</formula>
    </cfRule>
  </conditionalFormatting>
  <conditionalFormatting sqref="I25 I30 I35 I40 I45 I50">
    <cfRule type="expression" dxfId="202" priority="1">
      <formula>IF($M25&lt;&gt;"",$I25&gt;$L25,FALSE)</formula>
    </cfRule>
  </conditionalFormatting>
  <dataValidations count="13">
    <dataValidation operator="greaterThan" allowBlank="1" showInputMessage="1" showErrorMessage="1" sqref="I25 I30 I35 I40 I45 I50" xr:uid="{00000000-0002-0000-0400-000000000000}"/>
    <dataValidation type="whole" allowBlank="1" showInputMessage="1" showErrorMessage="1" sqref="K9" xr:uid="{00000000-0002-0000-0400-000001000000}">
      <formula1>0</formula1>
      <formula2>20</formula2>
    </dataValidation>
    <dataValidation type="list" allowBlank="1" showInputMessage="1" showErrorMessage="1" sqref="F108:I111" xr:uid="{00000000-0002-0000-0400-000002000000}">
      <formula1>RANGE_LOOKUP_DEPENDENTS</formula1>
    </dataValidation>
    <dataValidation type="whole" allowBlank="1" showInputMessage="1" showErrorMessage="1" sqref="J9 L14:L15 L18" xr:uid="{00000000-0002-0000-0400-000003000000}">
      <formula1>1</formula1>
      <formula2>20</formula2>
    </dataValidation>
    <dataValidation type="decimal" operator="greaterThanOrEqual" allowBlank="1" showInputMessage="1" showErrorMessage="1" sqref="L96:L99 H97:H99 M120:M124" xr:uid="{00000000-0002-0000-0400-000004000000}">
      <formula1>0</formula1>
    </dataValidation>
    <dataValidation type="whole" allowBlank="1" showInputMessage="1" showErrorMessage="1" sqref="G97:G99 K96:K99" xr:uid="{00000000-0002-0000-0400-000005000000}">
      <formula1>1</formula1>
      <formula2>12</formula2>
    </dataValidation>
    <dataValidation type="date" operator="greaterThanOrEqual" allowBlank="1" showInputMessage="1" showErrorMessage="1" sqref="L70:L74 L59:L63 F25 F30 F35 F40 F45 F50" xr:uid="{00000000-0002-0000-0400-000006000000}">
      <formula1>1</formula1>
    </dataValidation>
    <dataValidation type="list" allowBlank="1" sqref="H25 H30 H35 H40 H45 H50" xr:uid="{00000000-0002-0000-0400-000007000000}">
      <formula1>RANGE_LOOKUP_PAYSTUBS_PER_YEAR</formula1>
    </dataValidation>
    <dataValidation type="list" operator="greaterThanOrEqual" allowBlank="1" showInputMessage="1" sqref="F120:F124 G121:H124" xr:uid="{00000000-0002-0000-0400-000009000000}">
      <formula1>RANGE_LOOKUP_SECTD_INCOMESOURCE</formula1>
    </dataValidation>
    <dataValidation type="list" allowBlank="1" showInputMessage="1" sqref="F83:I87" xr:uid="{00000000-0002-0000-0400-00000A000000}">
      <formula1>RANGE_LOOKUP_SECTE_INCOMESOURCE</formula1>
    </dataValidation>
    <dataValidation type="list" allowBlank="1" showInputMessage="1" showErrorMessage="1" sqref="J108:K111 J83:K87" xr:uid="{00000000-0002-0000-0400-00000B000000}">
      <formula1>RANGE_LOOKUP_CHILDSUPPORT_PYMT_FREQ</formula1>
    </dataValidation>
    <dataValidation type="decimal" operator="greaterThan" allowBlank="1" showInputMessage="1" showErrorMessage="1" sqref="L108:L111 M59:M63 M70:M74 I133:J135 J25 J30 J35 J40 J45 J50" xr:uid="{00000000-0002-0000-0400-00000C000000}">
      <formula1>0</formula1>
    </dataValidation>
    <dataValidation type="date" operator="greaterThan" allowBlank="1" showInputMessage="1" showErrorMessage="1" error="End of Pay Period must be after employment start date_x000a_" sqref="G25 G30 G35 G40 G45 G50" xr:uid="{00000000-0002-0000-0400-00000D000000}">
      <formula1>F25</formula1>
    </dataValidation>
  </dataValidations>
  <printOptions horizontalCentered="1"/>
  <pageMargins left="0.25" right="0.25" top="0.25" bottom="0.25" header="0.3" footer="0.3"/>
  <pageSetup scale="82" fitToHeight="0" orientation="landscape" r:id="rId1"/>
  <headerFooter>
    <oddFooter>&amp;RPage &amp;P of &amp;N</oddFooter>
  </headerFooter>
  <rowBreaks count="5" manualBreakCount="5">
    <brk id="17" min="2" max="13" man="1"/>
    <brk id="42" min="2" max="13" man="1"/>
    <brk id="75" min="2" max="13" man="1"/>
    <brk id="100" min="2" max="13" man="1"/>
    <brk id="125" min="2"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B3FA1-8522-431A-ADAD-3B00FEAF1631}">
  <dimension ref="A1:I29"/>
  <sheetViews>
    <sheetView showGridLines="0" showRowColHeaders="0" zoomScaleNormal="100" workbookViewId="0">
      <pane ySplit="7" topLeftCell="A8" activePane="bottomLeft" state="frozen"/>
      <selection activeCell="C1" sqref="C1"/>
      <selection pane="bottomLeft" activeCell="F2" sqref="F2:H2"/>
    </sheetView>
  </sheetViews>
  <sheetFormatPr defaultColWidth="0" defaultRowHeight="15" zeroHeight="1" x14ac:dyDescent="0.25"/>
  <cols>
    <col min="1" max="1" width="22.28515625" hidden="1" customWidth="1"/>
    <col min="2" max="2" width="31.42578125" hidden="1" customWidth="1"/>
    <col min="3" max="3" width="1.42578125" customWidth="1"/>
    <col min="4" max="4" width="31.28515625" customWidth="1"/>
    <col min="5" max="8" width="18.7109375" customWidth="1"/>
    <col min="9" max="9" width="1.42578125" customWidth="1"/>
    <col min="10" max="16384" width="9.140625" hidden="1"/>
  </cols>
  <sheetData>
    <row r="1" spans="1:9" ht="11.1" customHeight="1" x14ac:dyDescent="0.25"/>
    <row r="2" spans="1:9" ht="24.95" customHeight="1" x14ac:dyDescent="0.25">
      <c r="A2" s="46" t="s">
        <v>182</v>
      </c>
      <c r="B2" s="46" t="s">
        <v>181</v>
      </c>
      <c r="F2" s="400" t="str">
        <f>HYPERLINK("#"&amp;$B$4,$B$5)</f>
        <v>Return to New Household Reservation Request</v>
      </c>
      <c r="G2" s="400"/>
      <c r="H2" s="400"/>
    </row>
    <row r="3" spans="1:9" ht="11.1" customHeight="1" x14ac:dyDescent="0.25"/>
    <row r="4" spans="1:9" ht="21.75" customHeight="1" x14ac:dyDescent="0.25">
      <c r="A4" t="s">
        <v>2902</v>
      </c>
      <c r="B4" t="str">
        <f>"TARGET_" &amp;WELCOME_SELECTION_EFORM_TYPE&amp;"_ICW_BOOKMARK"</f>
        <v>TARGET_RES_ICW_BOOKMARK</v>
      </c>
      <c r="C4" s="223"/>
      <c r="D4" s="225" t="str">
        <f>"Mortgage Revenue Bond Median Income Guidelines: New Jersey State ("&amp;Configuration!V33&amp;")"</f>
        <v>Mortgage Revenue Bond Median Income Guidelines: New Jersey State (2023)</v>
      </c>
      <c r="E4" s="225"/>
      <c r="F4" s="223"/>
      <c r="G4" s="223"/>
      <c r="H4" s="265"/>
      <c r="I4" s="223"/>
    </row>
    <row r="5" spans="1:9" s="221" customFormat="1" ht="9" customHeight="1" x14ac:dyDescent="0.25">
      <c r="A5" s="39" t="s">
        <v>2903</v>
      </c>
      <c r="B5" s="39" t="str">
        <f>"Return to "&amp;WELCOME_SELECTION_EFORM_DESC</f>
        <v>Return to New Household Reservation Request</v>
      </c>
      <c r="C5" s="220"/>
      <c r="D5" s="266"/>
      <c r="E5" s="222"/>
    </row>
    <row r="6" spans="1:9" s="221" customFormat="1" ht="21" customHeight="1" x14ac:dyDescent="0.25">
      <c r="A6" s="39"/>
      <c r="B6" s="39"/>
      <c r="C6" s="220"/>
      <c r="D6" s="238"/>
      <c r="E6" s="402" t="s">
        <v>2959</v>
      </c>
      <c r="F6" s="402"/>
      <c r="G6" s="402" t="s">
        <v>2960</v>
      </c>
      <c r="H6" s="402"/>
    </row>
    <row r="7" spans="1:9" s="221" customFormat="1" ht="20.100000000000001" customHeight="1" x14ac:dyDescent="0.25">
      <c r="A7"/>
      <c r="B7"/>
      <c r="C7"/>
      <c r="D7" s="263" t="s">
        <v>107</v>
      </c>
      <c r="E7" s="180" t="s">
        <v>2958</v>
      </c>
      <c r="F7" s="262">
        <v>0.8</v>
      </c>
      <c r="G7" s="180" t="s">
        <v>2958</v>
      </c>
      <c r="H7" s="262">
        <v>0.8</v>
      </c>
    </row>
    <row r="8" spans="1:9" s="39" customFormat="1" ht="20.100000000000001" customHeight="1" x14ac:dyDescent="0.25">
      <c r="A8" s="39" t="s">
        <v>2961</v>
      </c>
      <c r="B8" s="39" t="str">
        <f>"NJ_"&amp;UPPER(D8)</f>
        <v>NJ_ATLANTIC</v>
      </c>
      <c r="D8" s="264" t="s">
        <v>1338</v>
      </c>
      <c r="E8" s="267">
        <f>F8/0.8</f>
        <v>117500</v>
      </c>
      <c r="F8" s="267">
        <f t="shared" ref="F8:F28" si="0">VLOOKUP(B8,LOOKUP_AMI_TABLE,8,FALSE)</f>
        <v>94000</v>
      </c>
      <c r="G8" s="267">
        <f>H8/0.8</f>
        <v>135125</v>
      </c>
      <c r="H8" s="267">
        <f t="shared" ref="H8:H28" si="1">VLOOKUP(B8,LOOKUP_AMI_TABLE,12,FALSE)</f>
        <v>108100</v>
      </c>
    </row>
    <row r="9" spans="1:9" s="39" customFormat="1" ht="20.100000000000001" customHeight="1" x14ac:dyDescent="0.25">
      <c r="A9" s="39" t="s">
        <v>2961</v>
      </c>
      <c r="B9" s="39" t="str">
        <f t="shared" ref="B9:B28" si="2">"NJ_"&amp;UPPER(D9)</f>
        <v>NJ_BERGEN</v>
      </c>
      <c r="D9" s="264" t="s">
        <v>1339</v>
      </c>
      <c r="E9" s="267">
        <f t="shared" ref="E9:G28" si="3">F9/0.8</f>
        <v>127700</v>
      </c>
      <c r="F9" s="267">
        <f t="shared" si="0"/>
        <v>102160</v>
      </c>
      <c r="G9" s="267">
        <f t="shared" si="3"/>
        <v>146855</v>
      </c>
      <c r="H9" s="267">
        <f t="shared" si="1"/>
        <v>117484</v>
      </c>
    </row>
    <row r="10" spans="1:9" s="39" customFormat="1" ht="20.100000000000001" customHeight="1" x14ac:dyDescent="0.25">
      <c r="A10" s="39" t="s">
        <v>2961</v>
      </c>
      <c r="B10" s="39" t="str">
        <f t="shared" si="2"/>
        <v>NJ_BURLINGTON</v>
      </c>
      <c r="D10" s="264" t="s">
        <v>1340</v>
      </c>
      <c r="E10" s="267">
        <f t="shared" si="3"/>
        <v>117500</v>
      </c>
      <c r="F10" s="267">
        <f t="shared" si="0"/>
        <v>94000</v>
      </c>
      <c r="G10" s="267">
        <f t="shared" si="3"/>
        <v>135125</v>
      </c>
      <c r="H10" s="267">
        <f t="shared" si="1"/>
        <v>108100</v>
      </c>
    </row>
    <row r="11" spans="1:9" s="39" customFormat="1" ht="20.100000000000001" customHeight="1" x14ac:dyDescent="0.25">
      <c r="A11" s="39" t="s">
        <v>2961</v>
      </c>
      <c r="B11" s="39" t="str">
        <f t="shared" si="2"/>
        <v>NJ_CAMDEN</v>
      </c>
      <c r="D11" s="264" t="s">
        <v>548</v>
      </c>
      <c r="E11" s="267">
        <f t="shared" si="3"/>
        <v>117500</v>
      </c>
      <c r="F11" s="267">
        <f t="shared" si="0"/>
        <v>94000</v>
      </c>
      <c r="G11" s="267">
        <f t="shared" si="3"/>
        <v>135125</v>
      </c>
      <c r="H11" s="267">
        <f t="shared" si="1"/>
        <v>108100</v>
      </c>
    </row>
    <row r="12" spans="1:9" s="39" customFormat="1" ht="20.100000000000001" customHeight="1" x14ac:dyDescent="0.25">
      <c r="A12" s="39" t="s">
        <v>2961</v>
      </c>
      <c r="B12" s="39" t="str">
        <f t="shared" si="2"/>
        <v>NJ_CAPE MAY</v>
      </c>
      <c r="D12" s="264" t="s">
        <v>1341</v>
      </c>
      <c r="E12" s="267">
        <f t="shared" si="3"/>
        <v>117500</v>
      </c>
      <c r="F12" s="267">
        <f t="shared" si="0"/>
        <v>94000</v>
      </c>
      <c r="G12" s="267">
        <f t="shared" si="3"/>
        <v>135125</v>
      </c>
      <c r="H12" s="267">
        <f t="shared" si="1"/>
        <v>108100</v>
      </c>
    </row>
    <row r="13" spans="1:9" s="39" customFormat="1" ht="20.100000000000001" customHeight="1" x14ac:dyDescent="0.25">
      <c r="A13" s="39" t="s">
        <v>2961</v>
      </c>
      <c r="B13" s="39" t="str">
        <f t="shared" si="2"/>
        <v>NJ_CUMBERLAND</v>
      </c>
      <c r="D13" s="264" t="s">
        <v>688</v>
      </c>
      <c r="E13" s="267">
        <f t="shared" si="3"/>
        <v>117500</v>
      </c>
      <c r="F13" s="267">
        <f t="shared" si="0"/>
        <v>94000</v>
      </c>
      <c r="G13" s="267">
        <f t="shared" si="3"/>
        <v>135125</v>
      </c>
      <c r="H13" s="267">
        <f t="shared" si="1"/>
        <v>108100</v>
      </c>
    </row>
    <row r="14" spans="1:9" s="39" customFormat="1" ht="20.100000000000001" customHeight="1" x14ac:dyDescent="0.25">
      <c r="A14" s="39" t="s">
        <v>2961</v>
      </c>
      <c r="B14" s="39" t="str">
        <f t="shared" si="2"/>
        <v>NJ_ESSEX</v>
      </c>
      <c r="D14" s="264" t="s">
        <v>1036</v>
      </c>
      <c r="E14" s="267">
        <f t="shared" si="3"/>
        <v>117500</v>
      </c>
      <c r="F14" s="267">
        <f t="shared" si="0"/>
        <v>94000</v>
      </c>
      <c r="G14" s="267">
        <f t="shared" si="3"/>
        <v>135125</v>
      </c>
      <c r="H14" s="267">
        <f t="shared" si="1"/>
        <v>108100</v>
      </c>
    </row>
    <row r="15" spans="1:9" s="39" customFormat="1" ht="20.100000000000001" customHeight="1" x14ac:dyDescent="0.25">
      <c r="A15" s="39" t="s">
        <v>2961</v>
      </c>
      <c r="B15" s="39" t="str">
        <f t="shared" si="2"/>
        <v>NJ_GLOUCESTER</v>
      </c>
      <c r="D15" s="264" t="s">
        <v>1342</v>
      </c>
      <c r="E15" s="267">
        <f t="shared" si="3"/>
        <v>117500</v>
      </c>
      <c r="F15" s="267">
        <f t="shared" si="0"/>
        <v>94000</v>
      </c>
      <c r="G15" s="267">
        <f t="shared" si="3"/>
        <v>135125</v>
      </c>
      <c r="H15" s="267">
        <f t="shared" si="1"/>
        <v>108100</v>
      </c>
    </row>
    <row r="16" spans="1:9" s="39" customFormat="1" ht="20.100000000000001" customHeight="1" x14ac:dyDescent="0.25">
      <c r="A16" s="39" t="s">
        <v>2961</v>
      </c>
      <c r="B16" s="39" t="str">
        <f t="shared" si="2"/>
        <v>NJ_HUDSON</v>
      </c>
      <c r="D16" s="264" t="s">
        <v>1343</v>
      </c>
      <c r="E16" s="267">
        <f t="shared" si="3"/>
        <v>117500</v>
      </c>
      <c r="F16" s="267">
        <f t="shared" si="0"/>
        <v>94000</v>
      </c>
      <c r="G16" s="267">
        <f t="shared" si="3"/>
        <v>135125</v>
      </c>
      <c r="H16" s="267">
        <f t="shared" si="1"/>
        <v>108100</v>
      </c>
    </row>
    <row r="17" spans="1:8" s="39" customFormat="1" ht="20.100000000000001" customHeight="1" x14ac:dyDescent="0.25">
      <c r="A17" s="39" t="s">
        <v>2961</v>
      </c>
      <c r="B17" s="39" t="str">
        <f t="shared" si="2"/>
        <v>NJ_HUNTERDON</v>
      </c>
      <c r="D17" s="264" t="s">
        <v>1344</v>
      </c>
      <c r="E17" s="267">
        <f t="shared" si="3"/>
        <v>135600</v>
      </c>
      <c r="F17" s="267">
        <f t="shared" si="0"/>
        <v>108480</v>
      </c>
      <c r="G17" s="267">
        <f t="shared" si="3"/>
        <v>155940</v>
      </c>
      <c r="H17" s="267">
        <f t="shared" si="1"/>
        <v>124752</v>
      </c>
    </row>
    <row r="18" spans="1:8" s="39" customFormat="1" ht="20.100000000000001" customHeight="1" x14ac:dyDescent="0.25">
      <c r="A18" s="39" t="s">
        <v>2961</v>
      </c>
      <c r="B18" s="39" t="str">
        <f t="shared" si="2"/>
        <v>NJ_MERCER</v>
      </c>
      <c r="D18" s="264" t="s">
        <v>714</v>
      </c>
      <c r="E18" s="267">
        <f t="shared" si="3"/>
        <v>119200</v>
      </c>
      <c r="F18" s="267">
        <f t="shared" si="0"/>
        <v>95360</v>
      </c>
      <c r="G18" s="267">
        <f t="shared" si="3"/>
        <v>137080</v>
      </c>
      <c r="H18" s="267">
        <f t="shared" si="1"/>
        <v>109664</v>
      </c>
    </row>
    <row r="19" spans="1:8" s="39" customFormat="1" ht="20.100000000000001" customHeight="1" x14ac:dyDescent="0.25">
      <c r="A19" s="39" t="s">
        <v>2961</v>
      </c>
      <c r="B19" s="39" t="str">
        <f t="shared" si="2"/>
        <v>NJ_MIDDLESEX</v>
      </c>
      <c r="D19" s="264" t="s">
        <v>474</v>
      </c>
      <c r="E19" s="267">
        <f t="shared" si="3"/>
        <v>135600</v>
      </c>
      <c r="F19" s="267">
        <f t="shared" si="0"/>
        <v>108480</v>
      </c>
      <c r="G19" s="267">
        <f t="shared" si="3"/>
        <v>155940</v>
      </c>
      <c r="H19" s="267">
        <f t="shared" si="1"/>
        <v>124752</v>
      </c>
    </row>
    <row r="20" spans="1:8" s="39" customFormat="1" ht="20.100000000000001" customHeight="1" x14ac:dyDescent="0.25">
      <c r="A20" s="39" t="s">
        <v>2961</v>
      </c>
      <c r="B20" s="39" t="str">
        <f t="shared" si="2"/>
        <v>NJ_MONMOUTH</v>
      </c>
      <c r="D20" s="264" t="s">
        <v>1345</v>
      </c>
      <c r="E20" s="267">
        <f t="shared" si="3"/>
        <v>123600</v>
      </c>
      <c r="F20" s="267">
        <f t="shared" si="0"/>
        <v>98880</v>
      </c>
      <c r="G20" s="267">
        <f t="shared" si="3"/>
        <v>142140</v>
      </c>
      <c r="H20" s="267">
        <f t="shared" si="1"/>
        <v>113712</v>
      </c>
    </row>
    <row r="21" spans="1:8" s="39" customFormat="1" ht="20.100000000000001" customHeight="1" x14ac:dyDescent="0.25">
      <c r="A21" s="39" t="s">
        <v>2961</v>
      </c>
      <c r="B21" s="39" t="str">
        <f t="shared" si="2"/>
        <v>NJ_MORRIS</v>
      </c>
      <c r="D21" s="264" t="s">
        <v>852</v>
      </c>
      <c r="E21" s="267">
        <f t="shared" si="3"/>
        <v>117500</v>
      </c>
      <c r="F21" s="267">
        <f t="shared" si="0"/>
        <v>94000</v>
      </c>
      <c r="G21" s="267">
        <f t="shared" si="3"/>
        <v>135125</v>
      </c>
      <c r="H21" s="267">
        <f t="shared" si="1"/>
        <v>108100</v>
      </c>
    </row>
    <row r="22" spans="1:8" s="39" customFormat="1" ht="20.100000000000001" customHeight="1" x14ac:dyDescent="0.25">
      <c r="A22" s="39" t="s">
        <v>2961</v>
      </c>
      <c r="B22" s="39" t="str">
        <f t="shared" si="2"/>
        <v>NJ_OCEAN</v>
      </c>
      <c r="D22" s="264" t="s">
        <v>1346</v>
      </c>
      <c r="E22" s="267">
        <f t="shared" si="3"/>
        <v>123600</v>
      </c>
      <c r="F22" s="267">
        <f t="shared" si="0"/>
        <v>98880</v>
      </c>
      <c r="G22" s="267">
        <f t="shared" si="3"/>
        <v>142140</v>
      </c>
      <c r="H22" s="267">
        <f t="shared" si="1"/>
        <v>113712</v>
      </c>
    </row>
    <row r="23" spans="1:8" s="39" customFormat="1" ht="20.100000000000001" customHeight="1" x14ac:dyDescent="0.25">
      <c r="A23" s="39" t="s">
        <v>2961</v>
      </c>
      <c r="B23" s="39" t="str">
        <f t="shared" si="2"/>
        <v>NJ_PASSAIC</v>
      </c>
      <c r="D23" s="264" t="s">
        <v>1347</v>
      </c>
      <c r="E23" s="267">
        <f t="shared" si="3"/>
        <v>127700</v>
      </c>
      <c r="F23" s="267">
        <f t="shared" si="0"/>
        <v>102160</v>
      </c>
      <c r="G23" s="267">
        <f t="shared" si="3"/>
        <v>146855</v>
      </c>
      <c r="H23" s="267">
        <f t="shared" si="1"/>
        <v>117484</v>
      </c>
    </row>
    <row r="24" spans="1:8" s="39" customFormat="1" ht="20.100000000000001" customHeight="1" x14ac:dyDescent="0.25">
      <c r="A24" s="39" t="s">
        <v>2961</v>
      </c>
      <c r="B24" s="39" t="str">
        <f t="shared" si="2"/>
        <v>NJ_SALEM</v>
      </c>
      <c r="D24" s="264" t="s">
        <v>1348</v>
      </c>
      <c r="E24" s="267">
        <f t="shared" si="3"/>
        <v>117500</v>
      </c>
      <c r="F24" s="267">
        <f t="shared" si="0"/>
        <v>94000</v>
      </c>
      <c r="G24" s="267">
        <f t="shared" si="3"/>
        <v>135125</v>
      </c>
      <c r="H24" s="267">
        <f t="shared" si="1"/>
        <v>108100</v>
      </c>
    </row>
    <row r="25" spans="1:8" s="39" customFormat="1" ht="20.100000000000001" customHeight="1" x14ac:dyDescent="0.25">
      <c r="A25" s="39" t="s">
        <v>2961</v>
      </c>
      <c r="B25" s="39" t="str">
        <f t="shared" si="2"/>
        <v>NJ_SOMERSET</v>
      </c>
      <c r="D25" s="264" t="s">
        <v>1012</v>
      </c>
      <c r="E25" s="267">
        <f t="shared" si="3"/>
        <v>135600</v>
      </c>
      <c r="F25" s="267">
        <f t="shared" si="0"/>
        <v>108480</v>
      </c>
      <c r="G25" s="267">
        <f t="shared" si="3"/>
        <v>155940</v>
      </c>
      <c r="H25" s="267">
        <f t="shared" si="1"/>
        <v>124752</v>
      </c>
    </row>
    <row r="26" spans="1:8" s="39" customFormat="1" ht="20.100000000000001" customHeight="1" x14ac:dyDescent="0.25">
      <c r="A26" s="39" t="s">
        <v>2961</v>
      </c>
      <c r="B26" s="39" t="str">
        <f t="shared" si="2"/>
        <v>NJ_SUSSEX</v>
      </c>
      <c r="D26" s="264" t="s">
        <v>481</v>
      </c>
      <c r="E26" s="267">
        <f t="shared" si="3"/>
        <v>117500</v>
      </c>
      <c r="F26" s="267">
        <f t="shared" si="0"/>
        <v>94000</v>
      </c>
      <c r="G26" s="267">
        <f t="shared" si="3"/>
        <v>135125</v>
      </c>
      <c r="H26" s="267">
        <f t="shared" si="1"/>
        <v>108100</v>
      </c>
    </row>
    <row r="27" spans="1:8" s="39" customFormat="1" ht="20.100000000000001" customHeight="1" x14ac:dyDescent="0.25">
      <c r="A27" s="39" t="s">
        <v>2961</v>
      </c>
      <c r="B27" s="39" t="str">
        <f t="shared" si="2"/>
        <v>NJ_UNION</v>
      </c>
      <c r="D27" s="264" t="s">
        <v>356</v>
      </c>
      <c r="E27" s="267">
        <f t="shared" si="3"/>
        <v>117500</v>
      </c>
      <c r="F27" s="267">
        <f t="shared" si="0"/>
        <v>94000</v>
      </c>
      <c r="G27" s="267">
        <f t="shared" si="3"/>
        <v>135125</v>
      </c>
      <c r="H27" s="267">
        <f t="shared" si="1"/>
        <v>108100</v>
      </c>
    </row>
    <row r="28" spans="1:8" s="39" customFormat="1" ht="20.100000000000001" customHeight="1" x14ac:dyDescent="0.25">
      <c r="A28" s="39" t="s">
        <v>2961</v>
      </c>
      <c r="B28" s="39" t="str">
        <f t="shared" si="2"/>
        <v>NJ_WARREN</v>
      </c>
      <c r="D28" s="264" t="s">
        <v>633</v>
      </c>
      <c r="E28" s="267">
        <f t="shared" si="3"/>
        <v>118300</v>
      </c>
      <c r="F28" s="267">
        <f t="shared" si="0"/>
        <v>94640</v>
      </c>
      <c r="G28" s="267">
        <f t="shared" si="3"/>
        <v>136045</v>
      </c>
      <c r="H28" s="267">
        <f t="shared" si="1"/>
        <v>108836</v>
      </c>
    </row>
    <row r="29" spans="1:8" x14ac:dyDescent="0.25"/>
  </sheetData>
  <sheetProtection algorithmName="SHA-512" hashValue="zLabdIcDzGgdEooqBsVVbt8hlASDU/AFyIIIPnWrygab4YkZajf5R4WSVvEK+RwsKW47KCXOP8T3cg43ay2DMA==" saltValue="MeblB+10Epr/aAvm0Q7mwQ==" spinCount="100000" sheet="1" objects="1" scenarios="1"/>
  <mergeCells count="3">
    <mergeCell ref="F2:H2"/>
    <mergeCell ref="E6:F6"/>
    <mergeCell ref="G6:H6"/>
  </mergeCells>
  <pageMargins left="0.7" right="0.7" top="0.75" bottom="0.75" header="0.3" footer="0.3"/>
  <pageSetup scale="82" orientation="portrait" horizontalDpi="0" verticalDpi="0"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1DF4F-A88C-42F7-B8E3-CF36970475ED}">
  <dimension ref="A1:I70"/>
  <sheetViews>
    <sheetView showGridLines="0" showRowColHeaders="0" zoomScaleNormal="100" workbookViewId="0">
      <pane ySplit="7" topLeftCell="A8" activePane="bottomLeft" state="frozen"/>
      <selection activeCell="C1" sqref="C1"/>
      <selection pane="bottomLeft" activeCell="F2" sqref="F2:H2"/>
    </sheetView>
  </sheetViews>
  <sheetFormatPr defaultColWidth="0" defaultRowHeight="15" customHeight="1" zeroHeight="1" x14ac:dyDescent="0.25"/>
  <cols>
    <col min="1" max="1" width="22.28515625" hidden="1" customWidth="1"/>
    <col min="2" max="2" width="31.42578125" hidden="1" customWidth="1"/>
    <col min="3" max="3" width="1.42578125" customWidth="1"/>
    <col min="4" max="4" width="31.28515625" customWidth="1"/>
    <col min="5" max="8" width="18.7109375" customWidth="1"/>
    <col min="9" max="9" width="1.42578125" customWidth="1"/>
    <col min="10" max="16384" width="9.140625" hidden="1"/>
  </cols>
  <sheetData>
    <row r="1" spans="1:9" ht="11.1" customHeight="1" x14ac:dyDescent="0.25"/>
    <row r="2" spans="1:9" ht="24.95" customHeight="1" x14ac:dyDescent="0.25">
      <c r="A2" s="46" t="s">
        <v>182</v>
      </c>
      <c r="B2" s="46" t="s">
        <v>181</v>
      </c>
      <c r="F2" s="400" t="str">
        <f>HYPERLINK("#"&amp;$B$4,$B$5)</f>
        <v>Return to New Household Reservation Request</v>
      </c>
      <c r="G2" s="400"/>
      <c r="H2" s="400"/>
    </row>
    <row r="3" spans="1:9" ht="11.1" customHeight="1" x14ac:dyDescent="0.25"/>
    <row r="4" spans="1:9" ht="21.75" customHeight="1" x14ac:dyDescent="0.25">
      <c r="A4" t="s">
        <v>2902</v>
      </c>
      <c r="B4" t="str">
        <f>"TARGET_" &amp;WELCOME_SELECTION_EFORM_TYPE&amp;"_ICW_BOOKMARK"</f>
        <v>TARGET_RES_ICW_BOOKMARK</v>
      </c>
      <c r="C4" s="223"/>
      <c r="D4" s="225" t="str">
        <f>"Mortgage Revenue Bond Median Income Guidelines: New York State ("&amp;Configuration!V34&amp;")"</f>
        <v>Mortgage Revenue Bond Median Income Guidelines: New York State (2023)</v>
      </c>
      <c r="E4" s="225"/>
      <c r="F4" s="223"/>
      <c r="G4" s="223"/>
      <c r="H4" s="265"/>
      <c r="I4" s="223"/>
    </row>
    <row r="5" spans="1:9" s="221" customFormat="1" ht="9" customHeight="1" x14ac:dyDescent="0.25">
      <c r="A5" s="39" t="s">
        <v>2903</v>
      </c>
      <c r="B5" s="39" t="str">
        <f>"Return to "&amp;WELCOME_SELECTION_EFORM_DESC</f>
        <v>Return to New Household Reservation Request</v>
      </c>
      <c r="C5" s="220"/>
      <c r="D5" s="266"/>
      <c r="E5" s="222"/>
    </row>
    <row r="6" spans="1:9" s="221" customFormat="1" ht="21" customHeight="1" x14ac:dyDescent="0.25">
      <c r="A6" s="39"/>
      <c r="B6" s="39"/>
      <c r="C6" s="220"/>
      <c r="D6" s="238"/>
      <c r="E6" s="402" t="s">
        <v>2959</v>
      </c>
      <c r="F6" s="402"/>
      <c r="G6" s="402" t="s">
        <v>2960</v>
      </c>
      <c r="H6" s="402"/>
    </row>
    <row r="7" spans="1:9" s="221" customFormat="1" ht="20.100000000000001" customHeight="1" x14ac:dyDescent="0.25">
      <c r="A7"/>
      <c r="B7"/>
      <c r="C7"/>
      <c r="D7" s="263" t="s">
        <v>107</v>
      </c>
      <c r="E7" s="180" t="s">
        <v>2958</v>
      </c>
      <c r="F7" s="262">
        <v>0.8</v>
      </c>
      <c r="G7" s="180" t="s">
        <v>2958</v>
      </c>
      <c r="H7" s="262">
        <v>0.8</v>
      </c>
    </row>
    <row r="8" spans="1:9" s="39" customFormat="1" ht="20.100000000000001" customHeight="1" x14ac:dyDescent="0.25">
      <c r="A8" s="39" t="s">
        <v>2961</v>
      </c>
      <c r="B8" s="39" t="str">
        <f>"NY_"&amp;UPPER(D8)</f>
        <v>NY_ALBANY</v>
      </c>
      <c r="D8" s="264" t="s">
        <v>1373</v>
      </c>
      <c r="E8" s="267">
        <f>F8/0.8</f>
        <v>106000</v>
      </c>
      <c r="F8" s="267">
        <f t="shared" ref="F8:F39" si="0">VLOOKUP(B8,LOOKUP_AMI_TABLE,8,FALSE)</f>
        <v>84800</v>
      </c>
      <c r="G8" s="267">
        <f>H8/0.8</f>
        <v>121900</v>
      </c>
      <c r="H8" s="267">
        <f t="shared" ref="H8:H39" si="1">VLOOKUP(B8,LOOKUP_AMI_TABLE,12,FALSE)</f>
        <v>97520</v>
      </c>
    </row>
    <row r="9" spans="1:9" s="39" customFormat="1" ht="20.100000000000001" customHeight="1" x14ac:dyDescent="0.25">
      <c r="A9" s="39" t="s">
        <v>2961</v>
      </c>
      <c r="B9" s="39" t="str">
        <f t="shared" ref="B9:B69" si="2">"NY_"&amp;UPPER(D9)</f>
        <v>NY_ALLEGANY</v>
      </c>
      <c r="D9" s="264" t="s">
        <v>1015</v>
      </c>
      <c r="E9" s="267">
        <f t="shared" ref="E9:G24" si="3">F9/0.8</f>
        <v>99500</v>
      </c>
      <c r="F9" s="267">
        <f t="shared" si="0"/>
        <v>79600</v>
      </c>
      <c r="G9" s="267">
        <f t="shared" si="3"/>
        <v>114425</v>
      </c>
      <c r="H9" s="267">
        <f t="shared" si="1"/>
        <v>91540</v>
      </c>
    </row>
    <row r="10" spans="1:9" s="39" customFormat="1" ht="20.100000000000001" customHeight="1" x14ac:dyDescent="0.25">
      <c r="A10" s="39" t="s">
        <v>2961</v>
      </c>
      <c r="B10" s="39" t="str">
        <f t="shared" si="2"/>
        <v>NY_BRONX</v>
      </c>
      <c r="D10" s="264" t="s">
        <v>1374</v>
      </c>
      <c r="E10" s="267">
        <f t="shared" si="3"/>
        <v>160080</v>
      </c>
      <c r="F10" s="267">
        <f t="shared" si="0"/>
        <v>128064</v>
      </c>
      <c r="G10" s="267">
        <f t="shared" si="3"/>
        <v>186760</v>
      </c>
      <c r="H10" s="267">
        <f t="shared" si="1"/>
        <v>149408</v>
      </c>
    </row>
    <row r="11" spans="1:9" s="39" customFormat="1" ht="20.100000000000001" customHeight="1" x14ac:dyDescent="0.25">
      <c r="A11" s="39" t="s">
        <v>2961</v>
      </c>
      <c r="B11" s="39" t="str">
        <f t="shared" si="2"/>
        <v>NY_BROOME</v>
      </c>
      <c r="D11" s="264" t="s">
        <v>1375</v>
      </c>
      <c r="E11" s="267">
        <f t="shared" si="3"/>
        <v>99500</v>
      </c>
      <c r="F11" s="267">
        <f t="shared" si="0"/>
        <v>79600</v>
      </c>
      <c r="G11" s="267">
        <f t="shared" si="3"/>
        <v>114425</v>
      </c>
      <c r="H11" s="267">
        <f t="shared" si="1"/>
        <v>91540</v>
      </c>
    </row>
    <row r="12" spans="1:9" s="39" customFormat="1" ht="20.100000000000001" customHeight="1" x14ac:dyDescent="0.25">
      <c r="A12" s="39" t="s">
        <v>2961</v>
      </c>
      <c r="B12" s="39" t="str">
        <f t="shared" si="2"/>
        <v>NY_CATTARAUGUS</v>
      </c>
      <c r="D12" s="264" t="s">
        <v>1376</v>
      </c>
      <c r="E12" s="267">
        <f t="shared" si="3"/>
        <v>99500</v>
      </c>
      <c r="F12" s="267">
        <f t="shared" si="0"/>
        <v>79600</v>
      </c>
      <c r="G12" s="267">
        <f t="shared" si="3"/>
        <v>114425</v>
      </c>
      <c r="H12" s="267">
        <f t="shared" si="1"/>
        <v>91540</v>
      </c>
    </row>
    <row r="13" spans="1:9" s="39" customFormat="1" ht="20.100000000000001" customHeight="1" x14ac:dyDescent="0.25">
      <c r="A13" s="39" t="s">
        <v>2961</v>
      </c>
      <c r="B13" s="39" t="str">
        <f t="shared" si="2"/>
        <v>NY_CAYUGA</v>
      </c>
      <c r="D13" s="264" t="s">
        <v>1377</v>
      </c>
      <c r="E13" s="267">
        <f t="shared" si="3"/>
        <v>99500</v>
      </c>
      <c r="F13" s="267">
        <f t="shared" si="0"/>
        <v>79600</v>
      </c>
      <c r="G13" s="267">
        <f t="shared" si="3"/>
        <v>114425</v>
      </c>
      <c r="H13" s="267">
        <f t="shared" si="1"/>
        <v>91540</v>
      </c>
    </row>
    <row r="14" spans="1:9" s="39" customFormat="1" ht="20.100000000000001" customHeight="1" x14ac:dyDescent="0.25">
      <c r="A14" s="39" t="s">
        <v>2961</v>
      </c>
      <c r="B14" s="39" t="str">
        <f t="shared" si="2"/>
        <v>NY_CHAUTAUQUA</v>
      </c>
      <c r="D14" s="264" t="s">
        <v>825</v>
      </c>
      <c r="E14" s="267">
        <f t="shared" si="3"/>
        <v>99500</v>
      </c>
      <c r="F14" s="267">
        <f t="shared" si="0"/>
        <v>79600</v>
      </c>
      <c r="G14" s="267">
        <f t="shared" si="3"/>
        <v>114425</v>
      </c>
      <c r="H14" s="267">
        <f t="shared" si="1"/>
        <v>91540</v>
      </c>
    </row>
    <row r="15" spans="1:9" s="39" customFormat="1" ht="20.100000000000001" customHeight="1" x14ac:dyDescent="0.25">
      <c r="A15" s="39" t="s">
        <v>2961</v>
      </c>
      <c r="B15" s="39" t="str">
        <f t="shared" si="2"/>
        <v>NY_CHEMUNG</v>
      </c>
      <c r="D15" s="264" t="s">
        <v>1378</v>
      </c>
      <c r="E15" s="267">
        <f t="shared" si="3"/>
        <v>99500</v>
      </c>
      <c r="F15" s="267">
        <f t="shared" si="0"/>
        <v>79600</v>
      </c>
      <c r="G15" s="267">
        <f t="shared" si="3"/>
        <v>114425</v>
      </c>
      <c r="H15" s="267">
        <f t="shared" si="1"/>
        <v>91540</v>
      </c>
    </row>
    <row r="16" spans="1:9" s="39" customFormat="1" ht="20.100000000000001" customHeight="1" x14ac:dyDescent="0.25">
      <c r="A16" s="39" t="s">
        <v>2961</v>
      </c>
      <c r="B16" s="39" t="str">
        <f t="shared" si="2"/>
        <v>NY_CHENANGO</v>
      </c>
      <c r="D16" s="264" t="s">
        <v>1379</v>
      </c>
      <c r="E16" s="267">
        <f t="shared" si="3"/>
        <v>99500</v>
      </c>
      <c r="F16" s="267">
        <f t="shared" si="0"/>
        <v>79600</v>
      </c>
      <c r="G16" s="267">
        <f t="shared" si="3"/>
        <v>114425</v>
      </c>
      <c r="H16" s="267">
        <f t="shared" si="1"/>
        <v>91540</v>
      </c>
    </row>
    <row r="17" spans="1:8" s="39" customFormat="1" ht="20.100000000000001" customHeight="1" x14ac:dyDescent="0.25">
      <c r="A17" s="39" t="s">
        <v>2961</v>
      </c>
      <c r="B17" s="39" t="str">
        <f t="shared" si="2"/>
        <v>NY_CLINTON</v>
      </c>
      <c r="D17" s="264" t="s">
        <v>686</v>
      </c>
      <c r="E17" s="267">
        <f t="shared" si="3"/>
        <v>99500</v>
      </c>
      <c r="F17" s="267">
        <f t="shared" si="0"/>
        <v>79600</v>
      </c>
      <c r="G17" s="267">
        <f t="shared" si="3"/>
        <v>114425</v>
      </c>
      <c r="H17" s="267">
        <f t="shared" si="1"/>
        <v>91540</v>
      </c>
    </row>
    <row r="18" spans="1:8" s="39" customFormat="1" ht="20.100000000000001" customHeight="1" x14ac:dyDescent="0.25">
      <c r="A18" s="39" t="s">
        <v>2961</v>
      </c>
      <c r="B18" s="39" t="str">
        <f t="shared" si="2"/>
        <v>NY_COLUMBIA</v>
      </c>
      <c r="D18" s="264" t="s">
        <v>314</v>
      </c>
      <c r="E18" s="267">
        <f t="shared" si="3"/>
        <v>99500</v>
      </c>
      <c r="F18" s="267">
        <f t="shared" si="0"/>
        <v>79600</v>
      </c>
      <c r="G18" s="267">
        <f t="shared" si="3"/>
        <v>114425</v>
      </c>
      <c r="H18" s="267">
        <f t="shared" si="1"/>
        <v>91540</v>
      </c>
    </row>
    <row r="19" spans="1:8" s="39" customFormat="1" ht="20.100000000000001" customHeight="1" x14ac:dyDescent="0.25">
      <c r="A19" s="39" t="s">
        <v>2961</v>
      </c>
      <c r="B19" s="39" t="str">
        <f t="shared" si="2"/>
        <v>NY_CORTLAND</v>
      </c>
      <c r="D19" s="264" t="s">
        <v>1380</v>
      </c>
      <c r="E19" s="267">
        <f t="shared" si="3"/>
        <v>99500</v>
      </c>
      <c r="F19" s="267">
        <f t="shared" si="0"/>
        <v>79600</v>
      </c>
      <c r="G19" s="267">
        <f t="shared" si="3"/>
        <v>114425</v>
      </c>
      <c r="H19" s="267">
        <f t="shared" si="1"/>
        <v>91540</v>
      </c>
    </row>
    <row r="20" spans="1:8" s="39" customFormat="1" ht="20.100000000000001" customHeight="1" x14ac:dyDescent="0.25">
      <c r="A20" s="39" t="s">
        <v>2961</v>
      </c>
      <c r="B20" s="39" t="str">
        <f t="shared" si="2"/>
        <v>NY_DELAWARE</v>
      </c>
      <c r="D20" s="264" t="s">
        <v>738</v>
      </c>
      <c r="E20" s="267">
        <f t="shared" si="3"/>
        <v>99500</v>
      </c>
      <c r="F20" s="267">
        <f t="shared" si="0"/>
        <v>79600</v>
      </c>
      <c r="G20" s="267">
        <f t="shared" si="3"/>
        <v>114425</v>
      </c>
      <c r="H20" s="267">
        <f t="shared" si="1"/>
        <v>91540</v>
      </c>
    </row>
    <row r="21" spans="1:8" s="39" customFormat="1" ht="20.100000000000001" customHeight="1" x14ac:dyDescent="0.25">
      <c r="A21" s="39" t="s">
        <v>2961</v>
      </c>
      <c r="B21" s="39" t="str">
        <f t="shared" si="2"/>
        <v>NY_DUTCHESS</v>
      </c>
      <c r="D21" s="264" t="s">
        <v>1381</v>
      </c>
      <c r="E21" s="267">
        <f t="shared" si="3"/>
        <v>112400</v>
      </c>
      <c r="F21" s="267">
        <f t="shared" si="0"/>
        <v>89920</v>
      </c>
      <c r="G21" s="267">
        <f t="shared" si="3"/>
        <v>129260</v>
      </c>
      <c r="H21" s="267">
        <f t="shared" si="1"/>
        <v>103408</v>
      </c>
    </row>
    <row r="22" spans="1:8" s="39" customFormat="1" ht="20.100000000000001" customHeight="1" x14ac:dyDescent="0.25">
      <c r="A22" s="39" t="s">
        <v>2961</v>
      </c>
      <c r="B22" s="39" t="str">
        <f t="shared" si="2"/>
        <v>NY_ERIE</v>
      </c>
      <c r="D22" s="264" t="s">
        <v>1382</v>
      </c>
      <c r="E22" s="267">
        <f t="shared" si="3"/>
        <v>99500</v>
      </c>
      <c r="F22" s="267">
        <f t="shared" si="0"/>
        <v>79600</v>
      </c>
      <c r="G22" s="267">
        <f t="shared" si="3"/>
        <v>114425</v>
      </c>
      <c r="H22" s="267">
        <f t="shared" si="1"/>
        <v>91540</v>
      </c>
    </row>
    <row r="23" spans="1:8" s="39" customFormat="1" ht="20.100000000000001" customHeight="1" x14ac:dyDescent="0.25">
      <c r="A23" s="39" t="s">
        <v>2961</v>
      </c>
      <c r="B23" s="39" t="str">
        <f t="shared" si="2"/>
        <v>NY_ESSEX</v>
      </c>
      <c r="D23" s="264" t="s">
        <v>1036</v>
      </c>
      <c r="E23" s="267">
        <f t="shared" si="3"/>
        <v>99500</v>
      </c>
      <c r="F23" s="267">
        <f t="shared" si="0"/>
        <v>79600</v>
      </c>
      <c r="G23" s="267">
        <f t="shared" si="3"/>
        <v>114425</v>
      </c>
      <c r="H23" s="267">
        <f t="shared" si="1"/>
        <v>91540</v>
      </c>
    </row>
    <row r="24" spans="1:8" s="39" customFormat="1" ht="20.100000000000001" customHeight="1" x14ac:dyDescent="0.25">
      <c r="A24" s="39" t="s">
        <v>2961</v>
      </c>
      <c r="B24" s="39" t="str">
        <f t="shared" si="2"/>
        <v>NY_FRANKLIN</v>
      </c>
      <c r="D24" s="264" t="s">
        <v>226</v>
      </c>
      <c r="E24" s="267">
        <f t="shared" si="3"/>
        <v>99500</v>
      </c>
      <c r="F24" s="267">
        <f t="shared" si="0"/>
        <v>79600</v>
      </c>
      <c r="G24" s="267">
        <f t="shared" si="3"/>
        <v>114425</v>
      </c>
      <c r="H24" s="267">
        <f t="shared" si="1"/>
        <v>91540</v>
      </c>
    </row>
    <row r="25" spans="1:8" s="39" customFormat="1" ht="20.100000000000001" customHeight="1" x14ac:dyDescent="0.25">
      <c r="A25" s="39" t="s">
        <v>2961</v>
      </c>
      <c r="B25" s="39" t="str">
        <f t="shared" si="2"/>
        <v>NY_FULTON</v>
      </c>
      <c r="D25" s="264" t="s">
        <v>323</v>
      </c>
      <c r="E25" s="267">
        <f t="shared" ref="E25:G28" si="4">F25/0.8</f>
        <v>99500</v>
      </c>
      <c r="F25" s="267">
        <f t="shared" si="0"/>
        <v>79600</v>
      </c>
      <c r="G25" s="267">
        <f t="shared" si="4"/>
        <v>114425</v>
      </c>
      <c r="H25" s="267">
        <f t="shared" si="1"/>
        <v>91540</v>
      </c>
    </row>
    <row r="26" spans="1:8" s="39" customFormat="1" ht="20.100000000000001" customHeight="1" x14ac:dyDescent="0.25">
      <c r="A26" s="39" t="s">
        <v>2961</v>
      </c>
      <c r="B26" s="39" t="str">
        <f t="shared" si="2"/>
        <v>NY_GENESEE</v>
      </c>
      <c r="D26" s="264" t="s">
        <v>1057</v>
      </c>
      <c r="E26" s="267">
        <f t="shared" si="4"/>
        <v>99500</v>
      </c>
      <c r="F26" s="267">
        <f t="shared" si="0"/>
        <v>79600</v>
      </c>
      <c r="G26" s="267">
        <f t="shared" si="4"/>
        <v>114425</v>
      </c>
      <c r="H26" s="267">
        <f t="shared" si="1"/>
        <v>91540</v>
      </c>
    </row>
    <row r="27" spans="1:8" s="39" customFormat="1" ht="20.100000000000001" customHeight="1" x14ac:dyDescent="0.25">
      <c r="A27" s="39" t="s">
        <v>2961</v>
      </c>
      <c r="B27" s="39" t="str">
        <f t="shared" si="2"/>
        <v>NY_GREENE</v>
      </c>
      <c r="D27" s="264" t="s">
        <v>228</v>
      </c>
      <c r="E27" s="267">
        <f t="shared" si="4"/>
        <v>99500</v>
      </c>
      <c r="F27" s="267">
        <f t="shared" si="0"/>
        <v>79600</v>
      </c>
      <c r="G27" s="267">
        <f t="shared" si="4"/>
        <v>114425</v>
      </c>
      <c r="H27" s="267">
        <f t="shared" si="1"/>
        <v>91540</v>
      </c>
    </row>
    <row r="28" spans="1:8" s="39" customFormat="1" ht="20.100000000000001" customHeight="1" x14ac:dyDescent="0.25">
      <c r="A28" s="39" t="s">
        <v>2961</v>
      </c>
      <c r="B28" s="39" t="str">
        <f t="shared" si="2"/>
        <v>NY_HAMILTON</v>
      </c>
      <c r="D28" s="264" t="s">
        <v>502</v>
      </c>
      <c r="E28" s="267">
        <f t="shared" si="4"/>
        <v>99500</v>
      </c>
      <c r="F28" s="267">
        <f t="shared" si="0"/>
        <v>79600</v>
      </c>
      <c r="G28" s="267">
        <f t="shared" si="4"/>
        <v>114425</v>
      </c>
      <c r="H28" s="267">
        <f t="shared" si="1"/>
        <v>91540</v>
      </c>
    </row>
    <row r="29" spans="1:8" s="39" customFormat="1" ht="20.100000000000001" customHeight="1" x14ac:dyDescent="0.25">
      <c r="A29" s="39" t="s">
        <v>2961</v>
      </c>
      <c r="B29" s="39" t="str">
        <f t="shared" si="2"/>
        <v>NY_HERKIMER</v>
      </c>
      <c r="D29" s="264" t="s">
        <v>1383</v>
      </c>
      <c r="E29" s="267">
        <f t="shared" ref="E29" si="5">F29/0.8</f>
        <v>99500</v>
      </c>
      <c r="F29" s="267">
        <f t="shared" si="0"/>
        <v>79600</v>
      </c>
      <c r="G29" s="267">
        <f t="shared" ref="G29" si="6">H29/0.8</f>
        <v>114425</v>
      </c>
      <c r="H29" s="267">
        <f t="shared" si="1"/>
        <v>91540</v>
      </c>
    </row>
    <row r="30" spans="1:8" s="39" customFormat="1" ht="20.100000000000001" customHeight="1" x14ac:dyDescent="0.25">
      <c r="A30" s="39" t="s">
        <v>2961</v>
      </c>
      <c r="B30" s="39" t="str">
        <f t="shared" si="2"/>
        <v>NY_JEFFERSON</v>
      </c>
      <c r="D30" s="264" t="s">
        <v>233</v>
      </c>
      <c r="E30" s="267">
        <f t="shared" ref="E30" si="7">F30/0.8</f>
        <v>99500</v>
      </c>
      <c r="F30" s="267">
        <f t="shared" si="0"/>
        <v>79600</v>
      </c>
      <c r="G30" s="267">
        <f t="shared" ref="G30" si="8">H30/0.8</f>
        <v>114425</v>
      </c>
      <c r="H30" s="267">
        <f t="shared" si="1"/>
        <v>91540</v>
      </c>
    </row>
    <row r="31" spans="1:8" s="39" customFormat="1" ht="20.100000000000001" customHeight="1" x14ac:dyDescent="0.25">
      <c r="A31" s="39" t="s">
        <v>2961</v>
      </c>
      <c r="B31" s="39" t="str">
        <f t="shared" si="2"/>
        <v>NY_KINGS</v>
      </c>
      <c r="D31" s="264" t="s">
        <v>376</v>
      </c>
      <c r="E31" s="267">
        <f t="shared" ref="E31" si="9">F31/0.8</f>
        <v>160080</v>
      </c>
      <c r="F31" s="267">
        <f t="shared" si="0"/>
        <v>128064</v>
      </c>
      <c r="G31" s="267">
        <f t="shared" ref="G31" si="10">H31/0.8</f>
        <v>186760</v>
      </c>
      <c r="H31" s="267">
        <f t="shared" si="1"/>
        <v>149408</v>
      </c>
    </row>
    <row r="32" spans="1:8" s="39" customFormat="1" ht="20.100000000000001" customHeight="1" x14ac:dyDescent="0.25">
      <c r="A32" s="39" t="s">
        <v>2961</v>
      </c>
      <c r="B32" s="39" t="str">
        <f t="shared" si="2"/>
        <v>NY_LEWIS</v>
      </c>
      <c r="D32" s="264" t="s">
        <v>668</v>
      </c>
      <c r="E32" s="267">
        <f t="shared" ref="E32" si="11">F32/0.8</f>
        <v>99500</v>
      </c>
      <c r="F32" s="267">
        <f t="shared" si="0"/>
        <v>79600</v>
      </c>
      <c r="G32" s="267">
        <f t="shared" ref="G32" si="12">H32/0.8</f>
        <v>114425</v>
      </c>
      <c r="H32" s="267">
        <f t="shared" si="1"/>
        <v>91540</v>
      </c>
    </row>
    <row r="33" spans="1:8" s="39" customFormat="1" ht="20.100000000000001" customHeight="1" x14ac:dyDescent="0.25">
      <c r="A33" s="39" t="s">
        <v>2961</v>
      </c>
      <c r="B33" s="39" t="str">
        <f t="shared" si="2"/>
        <v>NY_LIVINGSTON</v>
      </c>
      <c r="D33" s="264" t="s">
        <v>706</v>
      </c>
      <c r="E33" s="267">
        <f t="shared" ref="E33" si="13">F33/0.8</f>
        <v>99500</v>
      </c>
      <c r="F33" s="267">
        <f t="shared" si="0"/>
        <v>79600</v>
      </c>
      <c r="G33" s="267">
        <f t="shared" ref="G33" si="14">H33/0.8</f>
        <v>114425</v>
      </c>
      <c r="H33" s="267">
        <f t="shared" si="1"/>
        <v>91540</v>
      </c>
    </row>
    <row r="34" spans="1:8" s="39" customFormat="1" ht="20.100000000000001" customHeight="1" x14ac:dyDescent="0.25">
      <c r="A34" s="39" t="s">
        <v>2961</v>
      </c>
      <c r="B34" s="39" t="str">
        <f t="shared" si="2"/>
        <v>NY_MADISON</v>
      </c>
      <c r="D34" s="264" t="s">
        <v>241</v>
      </c>
      <c r="E34" s="267">
        <f t="shared" ref="E34" si="15">F34/0.8</f>
        <v>99500</v>
      </c>
      <c r="F34" s="267">
        <f t="shared" si="0"/>
        <v>79600</v>
      </c>
      <c r="G34" s="267">
        <f t="shared" ref="G34" si="16">H34/0.8</f>
        <v>114425</v>
      </c>
      <c r="H34" s="267">
        <f t="shared" si="1"/>
        <v>91540</v>
      </c>
    </row>
    <row r="35" spans="1:8" s="39" customFormat="1" ht="20.100000000000001" customHeight="1" x14ac:dyDescent="0.25">
      <c r="A35" s="39" t="s">
        <v>2961</v>
      </c>
      <c r="B35" s="39" t="str">
        <f t="shared" si="2"/>
        <v>NY_MONROE</v>
      </c>
      <c r="D35" s="264" t="s">
        <v>246</v>
      </c>
      <c r="E35" s="267">
        <f t="shared" ref="E35" si="17">F35/0.8</f>
        <v>99500</v>
      </c>
      <c r="F35" s="267">
        <f t="shared" si="0"/>
        <v>79600</v>
      </c>
      <c r="G35" s="267">
        <f t="shared" ref="G35" si="18">H35/0.8</f>
        <v>114425</v>
      </c>
      <c r="H35" s="267">
        <f t="shared" si="1"/>
        <v>91540</v>
      </c>
    </row>
    <row r="36" spans="1:8" s="39" customFormat="1" ht="20.100000000000001" customHeight="1" x14ac:dyDescent="0.25">
      <c r="A36" s="39" t="s">
        <v>2961</v>
      </c>
      <c r="B36" s="39" t="str">
        <f t="shared" si="2"/>
        <v>NY_MONTGOMERY</v>
      </c>
      <c r="D36" s="264" t="s">
        <v>247</v>
      </c>
      <c r="E36" s="267">
        <f t="shared" ref="E36" si="19">F36/0.8</f>
        <v>99500</v>
      </c>
      <c r="F36" s="267">
        <f t="shared" si="0"/>
        <v>79600</v>
      </c>
      <c r="G36" s="267">
        <f t="shared" ref="G36" si="20">H36/0.8</f>
        <v>114425</v>
      </c>
      <c r="H36" s="267">
        <f t="shared" si="1"/>
        <v>91540</v>
      </c>
    </row>
    <row r="37" spans="1:8" s="39" customFormat="1" ht="20.100000000000001" customHeight="1" x14ac:dyDescent="0.25">
      <c r="A37" s="39" t="s">
        <v>2961</v>
      </c>
      <c r="B37" s="39" t="str">
        <f t="shared" si="2"/>
        <v>NY_NASSAU</v>
      </c>
      <c r="D37" s="264" t="s">
        <v>515</v>
      </c>
      <c r="E37" s="267">
        <f t="shared" ref="E37" si="21">F37/0.8</f>
        <v>174360</v>
      </c>
      <c r="F37" s="267">
        <f t="shared" si="0"/>
        <v>139488</v>
      </c>
      <c r="G37" s="267">
        <f t="shared" ref="G37" si="22">H37/0.8</f>
        <v>203420</v>
      </c>
      <c r="H37" s="267">
        <f t="shared" si="1"/>
        <v>162736</v>
      </c>
    </row>
    <row r="38" spans="1:8" s="39" customFormat="1" ht="20.100000000000001" customHeight="1" x14ac:dyDescent="0.25">
      <c r="A38" s="39" t="s">
        <v>2961</v>
      </c>
      <c r="B38" s="39" t="str">
        <f t="shared" si="2"/>
        <v>NY_NEW YORK</v>
      </c>
      <c r="D38" s="264" t="s">
        <v>1384</v>
      </c>
      <c r="E38" s="267">
        <f t="shared" ref="E38" si="23">F38/0.8</f>
        <v>160080</v>
      </c>
      <c r="F38" s="267">
        <f t="shared" si="0"/>
        <v>128064</v>
      </c>
      <c r="G38" s="267">
        <f t="shared" ref="G38" si="24">H38/0.8</f>
        <v>186760</v>
      </c>
      <c r="H38" s="267">
        <f t="shared" si="1"/>
        <v>149408</v>
      </c>
    </row>
    <row r="39" spans="1:8" s="39" customFormat="1" ht="20.100000000000001" customHeight="1" x14ac:dyDescent="0.25">
      <c r="A39" s="39" t="s">
        <v>2961</v>
      </c>
      <c r="B39" s="39" t="str">
        <f t="shared" si="2"/>
        <v>NY_NIAGARA</v>
      </c>
      <c r="D39" s="264" t="s">
        <v>1385</v>
      </c>
      <c r="E39" s="267">
        <f t="shared" ref="E39" si="25">F39/0.8</f>
        <v>99500</v>
      </c>
      <c r="F39" s="267">
        <f t="shared" si="0"/>
        <v>79600</v>
      </c>
      <c r="G39" s="267">
        <f t="shared" ref="G39" si="26">H39/0.8</f>
        <v>114425</v>
      </c>
      <c r="H39" s="267">
        <f t="shared" si="1"/>
        <v>91540</v>
      </c>
    </row>
    <row r="40" spans="1:8" s="39" customFormat="1" ht="20.100000000000001" customHeight="1" x14ac:dyDescent="0.25">
      <c r="A40" s="39" t="s">
        <v>2961</v>
      </c>
      <c r="B40" s="39" t="str">
        <f t="shared" si="2"/>
        <v>NY_ONEIDA</v>
      </c>
      <c r="D40" s="264" t="s">
        <v>671</v>
      </c>
      <c r="E40" s="267">
        <f t="shared" ref="E40" si="27">F40/0.8</f>
        <v>99500</v>
      </c>
      <c r="F40" s="267">
        <f t="shared" ref="F40:F69" si="28">VLOOKUP(B40,LOOKUP_AMI_TABLE,8,FALSE)</f>
        <v>79600</v>
      </c>
      <c r="G40" s="267">
        <f t="shared" ref="G40" si="29">H40/0.8</f>
        <v>114425</v>
      </c>
      <c r="H40" s="267">
        <f t="shared" ref="H40:H69" si="30">VLOOKUP(B40,LOOKUP_AMI_TABLE,12,FALSE)</f>
        <v>91540</v>
      </c>
    </row>
    <row r="41" spans="1:8" s="39" customFormat="1" ht="20.100000000000001" customHeight="1" x14ac:dyDescent="0.25">
      <c r="A41" s="39" t="s">
        <v>2961</v>
      </c>
      <c r="B41" s="39" t="str">
        <f t="shared" si="2"/>
        <v>NY_ONONDAGA</v>
      </c>
      <c r="D41" s="264" t="s">
        <v>1386</v>
      </c>
      <c r="E41" s="267">
        <f t="shared" ref="E41" si="31">F41/0.8</f>
        <v>99500</v>
      </c>
      <c r="F41" s="267">
        <f t="shared" si="28"/>
        <v>79600</v>
      </c>
      <c r="G41" s="267">
        <f t="shared" ref="G41" si="32">H41/0.8</f>
        <v>114425</v>
      </c>
      <c r="H41" s="267">
        <f t="shared" si="30"/>
        <v>91540</v>
      </c>
    </row>
    <row r="42" spans="1:8" s="39" customFormat="1" ht="20.100000000000001" customHeight="1" x14ac:dyDescent="0.25">
      <c r="A42" s="39" t="s">
        <v>2961</v>
      </c>
      <c r="B42" s="39" t="str">
        <f t="shared" si="2"/>
        <v>NY_ONTARIO</v>
      </c>
      <c r="D42" s="264" t="s">
        <v>1387</v>
      </c>
      <c r="E42" s="267">
        <f t="shared" ref="E42" si="33">F42/0.8</f>
        <v>99500</v>
      </c>
      <c r="F42" s="267">
        <f t="shared" si="28"/>
        <v>79600</v>
      </c>
      <c r="G42" s="267">
        <f t="shared" ref="G42" si="34">H42/0.8</f>
        <v>114425</v>
      </c>
      <c r="H42" s="267">
        <f t="shared" si="30"/>
        <v>91540</v>
      </c>
    </row>
    <row r="43" spans="1:8" s="39" customFormat="1" ht="20.100000000000001" customHeight="1" x14ac:dyDescent="0.25">
      <c r="A43" s="39" t="s">
        <v>2961</v>
      </c>
      <c r="B43" s="39" t="str">
        <f t="shared" si="2"/>
        <v>NY_ORANGE</v>
      </c>
      <c r="D43" s="264" t="s">
        <v>389</v>
      </c>
      <c r="E43" s="267">
        <f t="shared" ref="E43" si="35">F43/0.8</f>
        <v>112400</v>
      </c>
      <c r="F43" s="267">
        <f t="shared" si="28"/>
        <v>89920</v>
      </c>
      <c r="G43" s="267">
        <f t="shared" ref="G43" si="36">H43/0.8</f>
        <v>129260</v>
      </c>
      <c r="H43" s="267">
        <f t="shared" si="30"/>
        <v>103408</v>
      </c>
    </row>
    <row r="44" spans="1:8" s="39" customFormat="1" ht="20.100000000000001" customHeight="1" x14ac:dyDescent="0.25">
      <c r="A44" s="39" t="s">
        <v>2961</v>
      </c>
      <c r="B44" s="39" t="str">
        <f t="shared" si="2"/>
        <v>NY_ORLEANS</v>
      </c>
      <c r="D44" s="264" t="s">
        <v>1388</v>
      </c>
      <c r="E44" s="267">
        <f t="shared" ref="E44" si="37">F44/0.8</f>
        <v>99500</v>
      </c>
      <c r="F44" s="267">
        <f t="shared" si="28"/>
        <v>79600</v>
      </c>
      <c r="G44" s="267">
        <f t="shared" ref="G44" si="38">H44/0.8</f>
        <v>114425</v>
      </c>
      <c r="H44" s="267">
        <f t="shared" si="30"/>
        <v>91540</v>
      </c>
    </row>
    <row r="45" spans="1:8" s="39" customFormat="1" ht="20.100000000000001" customHeight="1" x14ac:dyDescent="0.25">
      <c r="A45" s="39" t="s">
        <v>2961</v>
      </c>
      <c r="B45" s="39" t="str">
        <f t="shared" si="2"/>
        <v>NY_OSWEGO</v>
      </c>
      <c r="D45" s="264" t="s">
        <v>1389</v>
      </c>
      <c r="E45" s="267">
        <f t="shared" ref="E45" si="39">F45/0.8</f>
        <v>99500</v>
      </c>
      <c r="F45" s="267">
        <f t="shared" si="28"/>
        <v>79600</v>
      </c>
      <c r="G45" s="267">
        <f t="shared" ref="G45" si="40">H45/0.8</f>
        <v>114425</v>
      </c>
      <c r="H45" s="267">
        <f t="shared" si="30"/>
        <v>91540</v>
      </c>
    </row>
    <row r="46" spans="1:8" s="39" customFormat="1" ht="20.100000000000001" customHeight="1" x14ac:dyDescent="0.25">
      <c r="A46" s="39" t="s">
        <v>2961</v>
      </c>
      <c r="B46" s="39" t="str">
        <f t="shared" si="2"/>
        <v>NY_OTSEGO</v>
      </c>
      <c r="D46" s="264" t="s">
        <v>1094</v>
      </c>
      <c r="E46" s="267">
        <f t="shared" ref="E46" si="41">F46/0.8</f>
        <v>99500</v>
      </c>
      <c r="F46" s="267">
        <f t="shared" si="28"/>
        <v>79600</v>
      </c>
      <c r="G46" s="267">
        <f t="shared" ref="G46" si="42">H46/0.8</f>
        <v>114425</v>
      </c>
      <c r="H46" s="267">
        <f t="shared" si="30"/>
        <v>91540</v>
      </c>
    </row>
    <row r="47" spans="1:8" s="39" customFormat="1" ht="20.100000000000001" customHeight="1" x14ac:dyDescent="0.25">
      <c r="A47" s="39" t="s">
        <v>2961</v>
      </c>
      <c r="B47" s="39" t="str">
        <f t="shared" si="2"/>
        <v>NY_PUTNAM</v>
      </c>
      <c r="D47" s="264" t="s">
        <v>522</v>
      </c>
      <c r="E47" s="267">
        <f t="shared" ref="E47" si="43">F47/0.8</f>
        <v>160080</v>
      </c>
      <c r="F47" s="267">
        <f t="shared" si="28"/>
        <v>128064</v>
      </c>
      <c r="G47" s="267">
        <f t="shared" ref="G47" si="44">H47/0.8</f>
        <v>186760</v>
      </c>
      <c r="H47" s="267">
        <f t="shared" si="30"/>
        <v>149408</v>
      </c>
    </row>
    <row r="48" spans="1:8" s="39" customFormat="1" ht="20.100000000000001" customHeight="1" x14ac:dyDescent="0.25">
      <c r="A48" s="39" t="s">
        <v>2961</v>
      </c>
      <c r="B48" s="39" t="str">
        <f t="shared" si="2"/>
        <v>NY_QUEENS</v>
      </c>
      <c r="D48" s="264" t="s">
        <v>1390</v>
      </c>
      <c r="E48" s="267">
        <f t="shared" ref="E48" si="45">F48/0.8</f>
        <v>160080</v>
      </c>
      <c r="F48" s="267">
        <f t="shared" si="28"/>
        <v>128064</v>
      </c>
      <c r="G48" s="267">
        <f t="shared" ref="G48" si="46">H48/0.8</f>
        <v>186760</v>
      </c>
      <c r="H48" s="267">
        <f t="shared" si="30"/>
        <v>149408</v>
      </c>
    </row>
    <row r="49" spans="1:8" s="39" customFormat="1" ht="20.100000000000001" customHeight="1" x14ac:dyDescent="0.25">
      <c r="A49" s="39" t="s">
        <v>2961</v>
      </c>
      <c r="B49" s="39" t="str">
        <f t="shared" si="2"/>
        <v>NY_RENSSELAER</v>
      </c>
      <c r="D49" s="264" t="s">
        <v>1391</v>
      </c>
      <c r="E49" s="267">
        <f t="shared" ref="E49" si="47">F49/0.8</f>
        <v>106000</v>
      </c>
      <c r="F49" s="267">
        <f t="shared" si="28"/>
        <v>84800</v>
      </c>
      <c r="G49" s="267">
        <f t="shared" ref="G49" si="48">H49/0.8</f>
        <v>121900</v>
      </c>
      <c r="H49" s="267">
        <f t="shared" si="30"/>
        <v>97520</v>
      </c>
    </row>
    <row r="50" spans="1:8" s="39" customFormat="1" ht="20.100000000000001" customHeight="1" x14ac:dyDescent="0.25">
      <c r="A50" s="39" t="s">
        <v>2961</v>
      </c>
      <c r="B50" s="39" t="str">
        <f t="shared" si="2"/>
        <v>NY_RICHMOND</v>
      </c>
      <c r="D50" s="264" t="s">
        <v>611</v>
      </c>
      <c r="E50" s="267">
        <f t="shared" ref="E50" si="49">F50/0.8</f>
        <v>160080</v>
      </c>
      <c r="F50" s="267">
        <f t="shared" si="28"/>
        <v>128064</v>
      </c>
      <c r="G50" s="267">
        <f t="shared" ref="G50" si="50">H50/0.8</f>
        <v>186760</v>
      </c>
      <c r="H50" s="267">
        <f t="shared" si="30"/>
        <v>149408</v>
      </c>
    </row>
    <row r="51" spans="1:8" s="39" customFormat="1" ht="20.100000000000001" customHeight="1" x14ac:dyDescent="0.25">
      <c r="A51" s="39" t="s">
        <v>2961</v>
      </c>
      <c r="B51" s="39" t="str">
        <f t="shared" si="2"/>
        <v>NY_ROCKLAND</v>
      </c>
      <c r="D51" s="264" t="s">
        <v>1392</v>
      </c>
      <c r="E51" s="267">
        <f t="shared" ref="E51" si="51">F51/0.8</f>
        <v>160080</v>
      </c>
      <c r="F51" s="267">
        <f t="shared" si="28"/>
        <v>128064</v>
      </c>
      <c r="G51" s="267">
        <f t="shared" ref="G51" si="52">H51/0.8</f>
        <v>186760</v>
      </c>
      <c r="H51" s="267">
        <f t="shared" si="30"/>
        <v>149408</v>
      </c>
    </row>
    <row r="52" spans="1:8" s="39" customFormat="1" ht="20.100000000000001" customHeight="1" x14ac:dyDescent="0.25">
      <c r="A52" s="39" t="s">
        <v>2961</v>
      </c>
      <c r="B52" s="39" t="str">
        <f t="shared" si="2"/>
        <v>NY_SARATOGA</v>
      </c>
      <c r="D52" s="264" t="s">
        <v>1394</v>
      </c>
      <c r="E52" s="267">
        <f t="shared" ref="E52" si="53">F52/0.8</f>
        <v>106000</v>
      </c>
      <c r="F52" s="267">
        <f t="shared" si="28"/>
        <v>84800</v>
      </c>
      <c r="G52" s="267">
        <f t="shared" ref="G52" si="54">H52/0.8</f>
        <v>121900</v>
      </c>
      <c r="H52" s="267">
        <f t="shared" si="30"/>
        <v>97520</v>
      </c>
    </row>
    <row r="53" spans="1:8" s="39" customFormat="1" ht="20.100000000000001" customHeight="1" x14ac:dyDescent="0.25">
      <c r="A53" s="39" t="s">
        <v>2961</v>
      </c>
      <c r="B53" s="39" t="str">
        <f t="shared" si="2"/>
        <v>NY_SCHENECTADY</v>
      </c>
      <c r="D53" s="264" t="s">
        <v>1395</v>
      </c>
      <c r="E53" s="267">
        <f t="shared" ref="E53" si="55">F53/0.8</f>
        <v>106000</v>
      </c>
      <c r="F53" s="267">
        <f t="shared" si="28"/>
        <v>84800</v>
      </c>
      <c r="G53" s="267">
        <f t="shared" ref="G53" si="56">H53/0.8</f>
        <v>121900</v>
      </c>
      <c r="H53" s="267">
        <f t="shared" si="30"/>
        <v>97520</v>
      </c>
    </row>
    <row r="54" spans="1:8" s="39" customFormat="1" ht="20.100000000000001" customHeight="1" x14ac:dyDescent="0.25">
      <c r="A54" s="39" t="s">
        <v>2961</v>
      </c>
      <c r="B54" s="39" t="str">
        <f t="shared" si="2"/>
        <v>NY_SCHOHARIE</v>
      </c>
      <c r="D54" s="264" t="s">
        <v>1396</v>
      </c>
      <c r="E54" s="267">
        <f t="shared" ref="E54" si="57">F54/0.8</f>
        <v>106000</v>
      </c>
      <c r="F54" s="267">
        <f t="shared" si="28"/>
        <v>84800</v>
      </c>
      <c r="G54" s="267">
        <f t="shared" ref="G54" si="58">H54/0.8</f>
        <v>121900</v>
      </c>
      <c r="H54" s="267">
        <f t="shared" si="30"/>
        <v>97520</v>
      </c>
    </row>
    <row r="55" spans="1:8" s="39" customFormat="1" ht="20.100000000000001" customHeight="1" x14ac:dyDescent="0.25">
      <c r="A55" s="39" t="s">
        <v>2961</v>
      </c>
      <c r="B55" s="39" t="str">
        <f t="shared" si="2"/>
        <v>NY_SCHUYLER</v>
      </c>
      <c r="D55" s="264" t="s">
        <v>722</v>
      </c>
      <c r="E55" s="267">
        <f t="shared" ref="E55" si="59">F55/0.8</f>
        <v>99500</v>
      </c>
      <c r="F55" s="267">
        <f t="shared" si="28"/>
        <v>79600</v>
      </c>
      <c r="G55" s="267">
        <f t="shared" ref="G55" si="60">H55/0.8</f>
        <v>114425</v>
      </c>
      <c r="H55" s="267">
        <f t="shared" si="30"/>
        <v>91540</v>
      </c>
    </row>
    <row r="56" spans="1:8" s="39" customFormat="1" ht="20.100000000000001" customHeight="1" x14ac:dyDescent="0.25">
      <c r="A56" s="39" t="s">
        <v>2961</v>
      </c>
      <c r="B56" s="39" t="str">
        <f t="shared" si="2"/>
        <v>NY_SENECA</v>
      </c>
      <c r="D56" s="264" t="s">
        <v>1397</v>
      </c>
      <c r="E56" s="267">
        <f t="shared" ref="E56" si="61">F56/0.8</f>
        <v>99500</v>
      </c>
      <c r="F56" s="267">
        <f t="shared" si="28"/>
        <v>79600</v>
      </c>
      <c r="G56" s="267">
        <f t="shared" ref="G56" si="62">H56/0.8</f>
        <v>114425</v>
      </c>
      <c r="H56" s="267">
        <f t="shared" si="30"/>
        <v>91540</v>
      </c>
    </row>
    <row r="57" spans="1:8" s="39" customFormat="1" ht="20.100000000000001" customHeight="1" x14ac:dyDescent="0.25">
      <c r="A57" s="39" t="s">
        <v>2961</v>
      </c>
      <c r="B57" s="39" t="str">
        <f t="shared" si="2"/>
        <v>NY_ST. LAWRENCE</v>
      </c>
      <c r="D57" s="264" t="s">
        <v>1393</v>
      </c>
      <c r="E57" s="267">
        <f t="shared" ref="E57" si="63">F57/0.8</f>
        <v>99500</v>
      </c>
      <c r="F57" s="267">
        <f t="shared" si="28"/>
        <v>79600</v>
      </c>
      <c r="G57" s="267">
        <f t="shared" ref="G57" si="64">H57/0.8</f>
        <v>114425</v>
      </c>
      <c r="H57" s="267">
        <f t="shared" si="30"/>
        <v>91540</v>
      </c>
    </row>
    <row r="58" spans="1:8" s="39" customFormat="1" ht="20.100000000000001" customHeight="1" x14ac:dyDescent="0.25">
      <c r="A58" s="39" t="s">
        <v>2961</v>
      </c>
      <c r="B58" s="39" t="str">
        <f t="shared" si="2"/>
        <v>NY_STEUBEN</v>
      </c>
      <c r="D58" s="264" t="s">
        <v>763</v>
      </c>
      <c r="E58" s="267">
        <f t="shared" ref="E58" si="65">F58/0.8</f>
        <v>99500</v>
      </c>
      <c r="F58" s="267">
        <f t="shared" si="28"/>
        <v>79600</v>
      </c>
      <c r="G58" s="267">
        <f t="shared" ref="G58" si="66">H58/0.8</f>
        <v>114425</v>
      </c>
      <c r="H58" s="267">
        <f t="shared" si="30"/>
        <v>91540</v>
      </c>
    </row>
    <row r="59" spans="1:8" s="39" customFormat="1" ht="20.100000000000001" customHeight="1" x14ac:dyDescent="0.25">
      <c r="A59" s="39" t="s">
        <v>2961</v>
      </c>
      <c r="B59" s="39" t="str">
        <f t="shared" si="2"/>
        <v>NY_SUFFOLK</v>
      </c>
      <c r="D59" s="264" t="s">
        <v>1041</v>
      </c>
      <c r="E59" s="267">
        <f t="shared" ref="E59" si="67">F59/0.8</f>
        <v>174360</v>
      </c>
      <c r="F59" s="267">
        <f t="shared" si="28"/>
        <v>139488</v>
      </c>
      <c r="G59" s="267">
        <f t="shared" ref="G59" si="68">H59/0.8</f>
        <v>203420</v>
      </c>
      <c r="H59" s="267">
        <f t="shared" si="30"/>
        <v>162736</v>
      </c>
    </row>
    <row r="60" spans="1:8" s="39" customFormat="1" ht="20.100000000000001" customHeight="1" x14ac:dyDescent="0.25">
      <c r="A60" s="39" t="s">
        <v>2961</v>
      </c>
      <c r="B60" s="39" t="str">
        <f t="shared" si="2"/>
        <v>NY_SULLIVAN</v>
      </c>
      <c r="D60" s="264" t="s">
        <v>764</v>
      </c>
      <c r="E60" s="267">
        <f t="shared" ref="E60" si="69">F60/0.8</f>
        <v>99500</v>
      </c>
      <c r="F60" s="267">
        <f t="shared" si="28"/>
        <v>79600</v>
      </c>
      <c r="G60" s="267">
        <f t="shared" ref="G60" si="70">H60/0.8</f>
        <v>114425</v>
      </c>
      <c r="H60" s="267">
        <f t="shared" si="30"/>
        <v>91540</v>
      </c>
    </row>
    <row r="61" spans="1:8" s="39" customFormat="1" ht="20.100000000000001" customHeight="1" x14ac:dyDescent="0.25">
      <c r="A61" s="39" t="s">
        <v>2961</v>
      </c>
      <c r="B61" s="39" t="str">
        <f t="shared" si="2"/>
        <v>NY_TIOGA</v>
      </c>
      <c r="D61" s="264" t="s">
        <v>1398</v>
      </c>
      <c r="E61" s="267">
        <f t="shared" ref="E61" si="71">F61/0.8</f>
        <v>99500</v>
      </c>
      <c r="F61" s="267">
        <f t="shared" si="28"/>
        <v>79600</v>
      </c>
      <c r="G61" s="267">
        <f t="shared" ref="G61" si="72">H61/0.8</f>
        <v>114425</v>
      </c>
      <c r="H61" s="267">
        <f t="shared" si="30"/>
        <v>91540</v>
      </c>
    </row>
    <row r="62" spans="1:8" s="39" customFormat="1" ht="20.100000000000001" customHeight="1" x14ac:dyDescent="0.25">
      <c r="A62" s="39" t="s">
        <v>2961</v>
      </c>
      <c r="B62" s="39" t="str">
        <f t="shared" si="2"/>
        <v>NY_TOMPKINS</v>
      </c>
      <c r="D62" s="264" t="s">
        <v>1399</v>
      </c>
      <c r="E62" s="267">
        <f t="shared" ref="E62" si="73">F62/0.8</f>
        <v>100200</v>
      </c>
      <c r="F62" s="267">
        <f t="shared" si="28"/>
        <v>80160</v>
      </c>
      <c r="G62" s="267">
        <f t="shared" ref="G62" si="74">H62/0.8</f>
        <v>115230</v>
      </c>
      <c r="H62" s="267">
        <f t="shared" si="30"/>
        <v>92184</v>
      </c>
    </row>
    <row r="63" spans="1:8" s="39" customFormat="1" ht="20.100000000000001" customHeight="1" x14ac:dyDescent="0.25">
      <c r="A63" s="39" t="s">
        <v>2961</v>
      </c>
      <c r="B63" s="39" t="str">
        <f t="shared" si="2"/>
        <v>NY_ULSTER</v>
      </c>
      <c r="D63" s="264" t="s">
        <v>1400</v>
      </c>
      <c r="E63" s="267">
        <f t="shared" ref="E63" si="75">F63/0.8</f>
        <v>99500</v>
      </c>
      <c r="F63" s="267">
        <f t="shared" si="28"/>
        <v>79600</v>
      </c>
      <c r="G63" s="267">
        <f t="shared" ref="G63" si="76">H63/0.8</f>
        <v>114425</v>
      </c>
      <c r="H63" s="267">
        <f t="shared" si="30"/>
        <v>91540</v>
      </c>
    </row>
    <row r="64" spans="1:8" s="39" customFormat="1" ht="20.100000000000001" customHeight="1" x14ac:dyDescent="0.25">
      <c r="A64" s="39" t="s">
        <v>2961</v>
      </c>
      <c r="B64" s="39" t="str">
        <f t="shared" si="2"/>
        <v>NY_WARREN</v>
      </c>
      <c r="D64" s="264" t="s">
        <v>633</v>
      </c>
      <c r="E64" s="267">
        <f t="shared" ref="E64" si="77">F64/0.8</f>
        <v>99500</v>
      </c>
      <c r="F64" s="267">
        <f t="shared" si="28"/>
        <v>79600</v>
      </c>
      <c r="G64" s="267">
        <f t="shared" ref="G64" si="78">H64/0.8</f>
        <v>114425</v>
      </c>
      <c r="H64" s="267">
        <f t="shared" si="30"/>
        <v>91540</v>
      </c>
    </row>
    <row r="65" spans="1:8" s="39" customFormat="1" ht="20.100000000000001" customHeight="1" x14ac:dyDescent="0.25">
      <c r="A65" s="39" t="s">
        <v>2961</v>
      </c>
      <c r="B65" s="39" t="str">
        <f t="shared" si="2"/>
        <v>NY_WASHINGTON</v>
      </c>
      <c r="D65" s="264" t="s">
        <v>261</v>
      </c>
      <c r="E65" s="267">
        <f t="shared" ref="E65" si="79">F65/0.8</f>
        <v>99500</v>
      </c>
      <c r="F65" s="267">
        <f t="shared" si="28"/>
        <v>79600</v>
      </c>
      <c r="G65" s="267">
        <f t="shared" ref="G65" si="80">H65/0.8</f>
        <v>114425</v>
      </c>
      <c r="H65" s="267">
        <f t="shared" si="30"/>
        <v>91540</v>
      </c>
    </row>
    <row r="66" spans="1:8" s="39" customFormat="1" ht="20.100000000000001" customHeight="1" x14ac:dyDescent="0.25">
      <c r="A66" s="39" t="s">
        <v>2961</v>
      </c>
      <c r="B66" s="39" t="str">
        <f t="shared" si="2"/>
        <v>NY_WAYNE</v>
      </c>
      <c r="D66" s="264" t="s">
        <v>634</v>
      </c>
      <c r="E66" s="267">
        <f t="shared" ref="E66" si="81">F66/0.8</f>
        <v>99500</v>
      </c>
      <c r="F66" s="267">
        <f t="shared" si="28"/>
        <v>79600</v>
      </c>
      <c r="G66" s="267">
        <f t="shared" ref="G66" si="82">H66/0.8</f>
        <v>114425</v>
      </c>
      <c r="H66" s="267">
        <f t="shared" si="30"/>
        <v>91540</v>
      </c>
    </row>
    <row r="67" spans="1:8" s="39" customFormat="1" ht="20.100000000000001" customHeight="1" x14ac:dyDescent="0.25">
      <c r="A67" s="39" t="s">
        <v>2961</v>
      </c>
      <c r="B67" s="39" t="str">
        <f t="shared" si="2"/>
        <v>NY_WESTCHESTER</v>
      </c>
      <c r="D67" s="264" t="s">
        <v>1401</v>
      </c>
      <c r="E67" s="267">
        <f t="shared" ref="E67" si="83">F67/0.8</f>
        <v>166320</v>
      </c>
      <c r="F67" s="267">
        <f t="shared" si="28"/>
        <v>133056</v>
      </c>
      <c r="G67" s="267">
        <f t="shared" ref="G67" si="84">H67/0.8</f>
        <v>194040</v>
      </c>
      <c r="H67" s="267">
        <f t="shared" si="30"/>
        <v>155232</v>
      </c>
    </row>
    <row r="68" spans="1:8" s="39" customFormat="1" ht="20.100000000000001" customHeight="1" x14ac:dyDescent="0.25">
      <c r="A68" s="39" t="s">
        <v>2961</v>
      </c>
      <c r="B68" s="39" t="str">
        <f t="shared" si="2"/>
        <v>NY_WYOMING</v>
      </c>
      <c r="D68" s="264" t="s">
        <v>1402</v>
      </c>
      <c r="E68" s="267">
        <f t="shared" ref="E68" si="85">F68/0.8</f>
        <v>99500</v>
      </c>
      <c r="F68" s="267">
        <f t="shared" si="28"/>
        <v>79600</v>
      </c>
      <c r="G68" s="267">
        <f t="shared" ref="G68" si="86">H68/0.8</f>
        <v>114425</v>
      </c>
      <c r="H68" s="267">
        <f t="shared" si="30"/>
        <v>91540</v>
      </c>
    </row>
    <row r="69" spans="1:8" s="39" customFormat="1" ht="20.100000000000001" customHeight="1" x14ac:dyDescent="0.25">
      <c r="A69" s="39" t="s">
        <v>2961</v>
      </c>
      <c r="B69" s="39" t="str">
        <f t="shared" si="2"/>
        <v>NY_YATES</v>
      </c>
      <c r="D69" s="264" t="s">
        <v>1403</v>
      </c>
      <c r="E69" s="267">
        <f t="shared" ref="E69" si="87">F69/0.8</f>
        <v>99500</v>
      </c>
      <c r="F69" s="267">
        <f t="shared" si="28"/>
        <v>79600</v>
      </c>
      <c r="G69" s="267">
        <f t="shared" ref="G69" si="88">H69/0.8</f>
        <v>114425</v>
      </c>
      <c r="H69" s="267">
        <f t="shared" si="30"/>
        <v>91540</v>
      </c>
    </row>
    <row r="70" spans="1:8" ht="15" customHeight="1" x14ac:dyDescent="0.25"/>
  </sheetData>
  <sheetProtection algorithmName="SHA-512" hashValue="TnIJfHtkokQ0qCZgS0QjAJWsoE4mYgduucMiWodZW/Jzono2DuxBq+FJ6T8/JHz760qMhaPDyX9DH25jcVRm5g==" saltValue="EsgQEYKcpI0ufmKXfE3PiA==" spinCount="100000" sheet="1" objects="1" scenarios="1"/>
  <mergeCells count="3">
    <mergeCell ref="F2:H2"/>
    <mergeCell ref="E6:F6"/>
    <mergeCell ref="G6:H6"/>
  </mergeCells>
  <pageMargins left="0.7" right="0.7" top="0.75" bottom="0.75" header="0.3" footer="0.3"/>
  <pageSetup scale="82" orientation="portrait" horizontalDpi="0" verticalDpi="0"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DAD7A-EB2E-4B6E-9EFF-5B5C9C515EDE}">
  <sheetPr>
    <pageSetUpPr fitToPage="1"/>
  </sheetPr>
  <dimension ref="A1:I86"/>
  <sheetViews>
    <sheetView showGridLines="0" showRowColHeaders="0" zoomScaleNormal="100" workbookViewId="0">
      <pane ySplit="7" topLeftCell="A8" activePane="bottomLeft" state="frozen"/>
      <selection activeCell="C1" sqref="C1"/>
      <selection pane="bottomLeft" activeCell="F2" sqref="F2:H2"/>
    </sheetView>
  </sheetViews>
  <sheetFormatPr defaultColWidth="0" defaultRowHeight="15" customHeight="1" zeroHeight="1" x14ac:dyDescent="0.25"/>
  <cols>
    <col min="1" max="1" width="22.28515625" hidden="1" customWidth="1"/>
    <col min="2" max="2" width="31.42578125" hidden="1" customWidth="1"/>
    <col min="3" max="3" width="1.42578125" customWidth="1"/>
    <col min="4" max="4" width="31.28515625" customWidth="1"/>
    <col min="5" max="8" width="18.7109375" customWidth="1"/>
    <col min="9" max="9" width="1.42578125" customWidth="1"/>
    <col min="10" max="16384" width="9.140625" hidden="1"/>
  </cols>
  <sheetData>
    <row r="1" spans="1:9" ht="11.1" customHeight="1" x14ac:dyDescent="0.25"/>
    <row r="2" spans="1:9" ht="24.95" customHeight="1" x14ac:dyDescent="0.25">
      <c r="A2" s="46" t="s">
        <v>182</v>
      </c>
      <c r="B2" s="46" t="s">
        <v>181</v>
      </c>
      <c r="F2" s="400" t="str">
        <f>HYPERLINK("#"&amp;$B$4,$B$5)</f>
        <v>Return to New Household Reservation Request</v>
      </c>
      <c r="G2" s="400"/>
      <c r="H2" s="400"/>
    </row>
    <row r="3" spans="1:9" ht="11.1" customHeight="1" x14ac:dyDescent="0.25"/>
    <row r="4" spans="1:9" ht="21.75" customHeight="1" x14ac:dyDescent="0.25">
      <c r="A4" t="s">
        <v>2902</v>
      </c>
      <c r="B4" t="str">
        <f>"TARGET_" &amp;WELCOME_SELECTION_EFORM_TYPE&amp;"_ICW_BOOKMARK"</f>
        <v>TARGET_RES_ICW_BOOKMARK</v>
      </c>
      <c r="C4" s="223"/>
      <c r="D4" s="225" t="str">
        <f>"Mortgage Revenue Bond Median Income Guidelines: Puerto Rico ("&amp;Configuration!V35&amp;")"</f>
        <v>Mortgage Revenue Bond Median Income Guidelines: Puerto Rico (2022)</v>
      </c>
      <c r="E4" s="225"/>
      <c r="F4" s="223"/>
      <c r="G4" s="223"/>
      <c r="H4" s="265"/>
      <c r="I4" s="223"/>
    </row>
    <row r="5" spans="1:9" s="221" customFormat="1" ht="9" customHeight="1" x14ac:dyDescent="0.25">
      <c r="A5" s="39" t="s">
        <v>2903</v>
      </c>
      <c r="B5" s="39" t="str">
        <f>"Return to "&amp;WELCOME_SELECTION_EFORM_DESC</f>
        <v>Return to New Household Reservation Request</v>
      </c>
      <c r="C5" s="220"/>
      <c r="D5" s="266"/>
      <c r="E5" s="222"/>
    </row>
    <row r="6" spans="1:9" s="221" customFormat="1" ht="21" customHeight="1" x14ac:dyDescent="0.25">
      <c r="A6" s="39"/>
      <c r="B6" s="39"/>
      <c r="C6" s="220"/>
      <c r="D6" s="238"/>
      <c r="E6" s="402" t="s">
        <v>2959</v>
      </c>
      <c r="F6" s="402"/>
      <c r="G6" s="402" t="s">
        <v>2960</v>
      </c>
      <c r="H6" s="402"/>
    </row>
    <row r="7" spans="1:9" s="221" customFormat="1" ht="20.100000000000001" customHeight="1" x14ac:dyDescent="0.25">
      <c r="A7"/>
      <c r="B7"/>
      <c r="C7"/>
      <c r="D7" s="263" t="s">
        <v>107</v>
      </c>
      <c r="E7" s="180" t="s">
        <v>2958</v>
      </c>
      <c r="F7" s="262">
        <v>0.8</v>
      </c>
      <c r="G7" s="180" t="s">
        <v>2958</v>
      </c>
      <c r="H7" s="262">
        <v>0.8</v>
      </c>
    </row>
    <row r="8" spans="1:9" s="39" customFormat="1" ht="20.100000000000001" customHeight="1" x14ac:dyDescent="0.25">
      <c r="A8" s="39" t="s">
        <v>2961</v>
      </c>
      <c r="B8" s="39" t="str">
        <f>"PR_"&amp;UPPER(TRIM(D8))</f>
        <v>PR_ADJUNTAS</v>
      </c>
      <c r="D8" s="264" t="s">
        <v>2436</v>
      </c>
      <c r="E8" s="267">
        <f>F8/0.8</f>
        <v>28320</v>
      </c>
      <c r="F8" s="267">
        <f t="shared" ref="F8:F39" si="0">VLOOKUP(B8,LOOKUP_AMI_TABLE,8,FALSE)</f>
        <v>22656</v>
      </c>
      <c r="G8" s="267">
        <f>H8/0.8</f>
        <v>33040</v>
      </c>
      <c r="H8" s="267">
        <f t="shared" ref="H8:H39" si="1">VLOOKUP(B8,LOOKUP_AMI_TABLE,12,FALSE)</f>
        <v>26432</v>
      </c>
    </row>
    <row r="9" spans="1:9" s="39" customFormat="1" ht="20.100000000000001" customHeight="1" x14ac:dyDescent="0.25">
      <c r="A9" s="39" t="s">
        <v>2961</v>
      </c>
      <c r="B9" s="39" t="str">
        <f t="shared" ref="B9:B72" si="2">"PR_"&amp;UPPER(TRIM(D9))</f>
        <v>PR_AGUADA</v>
      </c>
      <c r="D9" s="264" t="s">
        <v>2437</v>
      </c>
      <c r="E9" s="267">
        <f t="shared" ref="E9:G24" si="3">F9/0.8</f>
        <v>30600</v>
      </c>
      <c r="F9" s="267">
        <f t="shared" si="0"/>
        <v>24480</v>
      </c>
      <c r="G9" s="267">
        <f t="shared" si="3"/>
        <v>35700</v>
      </c>
      <c r="H9" s="267">
        <f t="shared" si="1"/>
        <v>28560</v>
      </c>
    </row>
    <row r="10" spans="1:9" s="39" customFormat="1" ht="20.100000000000001" customHeight="1" x14ac:dyDescent="0.25">
      <c r="A10" s="39" t="s">
        <v>2961</v>
      </c>
      <c r="B10" s="39" t="str">
        <f t="shared" si="2"/>
        <v>PR_AGUADILLA</v>
      </c>
      <c r="D10" s="264" t="s">
        <v>2438</v>
      </c>
      <c r="E10" s="267">
        <f t="shared" si="3"/>
        <v>30600</v>
      </c>
      <c r="F10" s="267">
        <f t="shared" si="0"/>
        <v>24480</v>
      </c>
      <c r="G10" s="267">
        <f t="shared" si="3"/>
        <v>35700</v>
      </c>
      <c r="H10" s="267">
        <f t="shared" si="1"/>
        <v>28560</v>
      </c>
    </row>
    <row r="11" spans="1:9" s="39" customFormat="1" ht="20.100000000000001" customHeight="1" x14ac:dyDescent="0.25">
      <c r="A11" s="39" t="s">
        <v>2961</v>
      </c>
      <c r="B11" s="39" t="str">
        <f t="shared" si="2"/>
        <v>PR_AGUAS BUENAS</v>
      </c>
      <c r="D11" s="264" t="s">
        <v>2439</v>
      </c>
      <c r="E11" s="267">
        <f t="shared" si="3"/>
        <v>39960</v>
      </c>
      <c r="F11" s="267">
        <f t="shared" si="0"/>
        <v>31968</v>
      </c>
      <c r="G11" s="267">
        <f t="shared" si="3"/>
        <v>46620</v>
      </c>
      <c r="H11" s="267">
        <f t="shared" si="1"/>
        <v>37296</v>
      </c>
    </row>
    <row r="12" spans="1:9" s="39" customFormat="1" ht="20.100000000000001" customHeight="1" x14ac:dyDescent="0.25">
      <c r="A12" s="39" t="s">
        <v>2961</v>
      </c>
      <c r="B12" s="39" t="str">
        <f t="shared" si="2"/>
        <v>PR_AIBONITO</v>
      </c>
      <c r="D12" s="264" t="s">
        <v>2440</v>
      </c>
      <c r="E12" s="267">
        <f t="shared" si="3"/>
        <v>28560</v>
      </c>
      <c r="F12" s="267">
        <f t="shared" si="0"/>
        <v>22848</v>
      </c>
      <c r="G12" s="267">
        <f t="shared" si="3"/>
        <v>33320</v>
      </c>
      <c r="H12" s="267">
        <f t="shared" si="1"/>
        <v>26656</v>
      </c>
    </row>
    <row r="13" spans="1:9" s="39" customFormat="1" ht="20.100000000000001" customHeight="1" x14ac:dyDescent="0.25">
      <c r="A13" s="39" t="s">
        <v>2961</v>
      </c>
      <c r="B13" s="39" t="str">
        <f t="shared" si="2"/>
        <v>PR_ANASCO</v>
      </c>
      <c r="D13" s="264" t="s">
        <v>2441</v>
      </c>
      <c r="E13" s="267">
        <f t="shared" si="3"/>
        <v>30600</v>
      </c>
      <c r="F13" s="267">
        <f t="shared" si="0"/>
        <v>24480</v>
      </c>
      <c r="G13" s="267">
        <f t="shared" si="3"/>
        <v>35700</v>
      </c>
      <c r="H13" s="267">
        <f t="shared" si="1"/>
        <v>28560</v>
      </c>
    </row>
    <row r="14" spans="1:9" s="39" customFormat="1" ht="20.100000000000001" customHeight="1" x14ac:dyDescent="0.25">
      <c r="A14" s="39" t="s">
        <v>2961</v>
      </c>
      <c r="B14" s="39" t="str">
        <f t="shared" si="2"/>
        <v>PR_ARECIBO</v>
      </c>
      <c r="D14" s="264" t="s">
        <v>2442</v>
      </c>
      <c r="E14" s="267">
        <f t="shared" si="3"/>
        <v>33840</v>
      </c>
      <c r="F14" s="267">
        <f t="shared" si="0"/>
        <v>27072</v>
      </c>
      <c r="G14" s="267">
        <f t="shared" si="3"/>
        <v>39480</v>
      </c>
      <c r="H14" s="267">
        <f t="shared" si="1"/>
        <v>31584</v>
      </c>
    </row>
    <row r="15" spans="1:9" s="39" customFormat="1" ht="20.100000000000001" customHeight="1" x14ac:dyDescent="0.25">
      <c r="A15" s="39" t="s">
        <v>2961</v>
      </c>
      <c r="B15" s="39" t="str">
        <f t="shared" si="2"/>
        <v>PR_ARROYO</v>
      </c>
      <c r="D15" s="264" t="s">
        <v>2443</v>
      </c>
      <c r="E15" s="267">
        <f t="shared" si="3"/>
        <v>35640</v>
      </c>
      <c r="F15" s="267">
        <f t="shared" si="0"/>
        <v>28512</v>
      </c>
      <c r="G15" s="267">
        <f t="shared" si="3"/>
        <v>41580</v>
      </c>
      <c r="H15" s="267">
        <f t="shared" si="1"/>
        <v>33264</v>
      </c>
    </row>
    <row r="16" spans="1:9" s="39" customFormat="1" ht="20.100000000000001" customHeight="1" x14ac:dyDescent="0.25">
      <c r="A16" s="39" t="s">
        <v>2961</v>
      </c>
      <c r="B16" s="39" t="str">
        <f t="shared" si="2"/>
        <v>PR_BARCELONETA</v>
      </c>
      <c r="D16" s="264" t="s">
        <v>2444</v>
      </c>
      <c r="E16" s="267">
        <f t="shared" si="3"/>
        <v>39960</v>
      </c>
      <c r="F16" s="267">
        <f t="shared" si="0"/>
        <v>31968</v>
      </c>
      <c r="G16" s="267">
        <f t="shared" si="3"/>
        <v>46620</v>
      </c>
      <c r="H16" s="267">
        <f t="shared" si="1"/>
        <v>37296</v>
      </c>
    </row>
    <row r="17" spans="1:8" s="39" customFormat="1" ht="20.100000000000001" customHeight="1" x14ac:dyDescent="0.25">
      <c r="A17" s="39" t="s">
        <v>2961</v>
      </c>
      <c r="B17" s="39" t="str">
        <f t="shared" si="2"/>
        <v>PR_BARRANQUITAS</v>
      </c>
      <c r="D17" s="264" t="s">
        <v>2445</v>
      </c>
      <c r="E17" s="267">
        <f t="shared" si="3"/>
        <v>28560</v>
      </c>
      <c r="F17" s="267">
        <f t="shared" si="0"/>
        <v>22848</v>
      </c>
      <c r="G17" s="267">
        <f t="shared" si="3"/>
        <v>33320</v>
      </c>
      <c r="H17" s="267">
        <f t="shared" si="1"/>
        <v>26656</v>
      </c>
    </row>
    <row r="18" spans="1:8" s="39" customFormat="1" ht="20.100000000000001" customHeight="1" x14ac:dyDescent="0.25">
      <c r="A18" s="39" t="s">
        <v>2961</v>
      </c>
      <c r="B18" s="39" t="str">
        <f t="shared" si="2"/>
        <v>PR_BAYAMON</v>
      </c>
      <c r="D18" s="264" t="s">
        <v>2446</v>
      </c>
      <c r="E18" s="267">
        <f t="shared" si="3"/>
        <v>39960</v>
      </c>
      <c r="F18" s="267">
        <f t="shared" si="0"/>
        <v>31968</v>
      </c>
      <c r="G18" s="267">
        <f t="shared" si="3"/>
        <v>46620</v>
      </c>
      <c r="H18" s="267">
        <f t="shared" si="1"/>
        <v>37296</v>
      </c>
    </row>
    <row r="19" spans="1:8" s="39" customFormat="1" ht="20.100000000000001" customHeight="1" x14ac:dyDescent="0.25">
      <c r="A19" s="39" t="s">
        <v>2961</v>
      </c>
      <c r="B19" s="39" t="str">
        <f t="shared" si="2"/>
        <v>PR_CABO ROJO</v>
      </c>
      <c r="D19" s="264" t="s">
        <v>2447</v>
      </c>
      <c r="E19" s="267">
        <f t="shared" si="3"/>
        <v>28320</v>
      </c>
      <c r="F19" s="267">
        <f t="shared" si="0"/>
        <v>22656</v>
      </c>
      <c r="G19" s="267">
        <f t="shared" si="3"/>
        <v>33040</v>
      </c>
      <c r="H19" s="267">
        <f t="shared" si="1"/>
        <v>26432</v>
      </c>
    </row>
    <row r="20" spans="1:8" s="39" customFormat="1" ht="20.100000000000001" customHeight="1" x14ac:dyDescent="0.25">
      <c r="A20" s="39" t="s">
        <v>2961</v>
      </c>
      <c r="B20" s="39" t="str">
        <f t="shared" si="2"/>
        <v>PR_CAGUAS</v>
      </c>
      <c r="D20" s="264" t="s">
        <v>2448</v>
      </c>
      <c r="E20" s="267">
        <f t="shared" si="3"/>
        <v>37200</v>
      </c>
      <c r="F20" s="267">
        <f t="shared" si="0"/>
        <v>29760</v>
      </c>
      <c r="G20" s="267">
        <f t="shared" si="3"/>
        <v>43400</v>
      </c>
      <c r="H20" s="267">
        <f t="shared" si="1"/>
        <v>34720</v>
      </c>
    </row>
    <row r="21" spans="1:8" s="39" customFormat="1" ht="20.100000000000001" customHeight="1" x14ac:dyDescent="0.25">
      <c r="A21" s="39" t="s">
        <v>2961</v>
      </c>
      <c r="B21" s="39" t="str">
        <f t="shared" si="2"/>
        <v>PR_CAMUY</v>
      </c>
      <c r="D21" s="264" t="s">
        <v>2449</v>
      </c>
      <c r="E21" s="267">
        <f t="shared" si="3"/>
        <v>33840</v>
      </c>
      <c r="F21" s="267">
        <f t="shared" si="0"/>
        <v>27072</v>
      </c>
      <c r="G21" s="267">
        <f t="shared" si="3"/>
        <v>39480</v>
      </c>
      <c r="H21" s="267">
        <f t="shared" si="1"/>
        <v>31584</v>
      </c>
    </row>
    <row r="22" spans="1:8" s="39" customFormat="1" ht="20.100000000000001" customHeight="1" x14ac:dyDescent="0.25">
      <c r="A22" s="39" t="s">
        <v>2961</v>
      </c>
      <c r="B22" s="39" t="str">
        <f t="shared" si="2"/>
        <v>PR_CANOVANAS</v>
      </c>
      <c r="D22" s="264" t="s">
        <v>2450</v>
      </c>
      <c r="E22" s="267">
        <f t="shared" si="3"/>
        <v>39960</v>
      </c>
      <c r="F22" s="267">
        <f t="shared" si="0"/>
        <v>31968</v>
      </c>
      <c r="G22" s="267">
        <f t="shared" si="3"/>
        <v>46620</v>
      </c>
      <c r="H22" s="267">
        <f t="shared" si="1"/>
        <v>37296</v>
      </c>
    </row>
    <row r="23" spans="1:8" s="39" customFormat="1" ht="20.100000000000001" customHeight="1" x14ac:dyDescent="0.25">
      <c r="A23" s="39" t="s">
        <v>2961</v>
      </c>
      <c r="B23" s="39" t="str">
        <f t="shared" si="2"/>
        <v>PR_CAROLINA</v>
      </c>
      <c r="D23" s="264" t="s">
        <v>2451</v>
      </c>
      <c r="E23" s="267">
        <f t="shared" si="3"/>
        <v>39960</v>
      </c>
      <c r="F23" s="267">
        <f t="shared" si="0"/>
        <v>31968</v>
      </c>
      <c r="G23" s="267">
        <f t="shared" si="3"/>
        <v>46620</v>
      </c>
      <c r="H23" s="267">
        <f t="shared" si="1"/>
        <v>37296</v>
      </c>
    </row>
    <row r="24" spans="1:8" s="39" customFormat="1" ht="20.100000000000001" customHeight="1" x14ac:dyDescent="0.25">
      <c r="A24" s="39" t="s">
        <v>2961</v>
      </c>
      <c r="B24" s="39" t="str">
        <f t="shared" si="2"/>
        <v>PR_CATANO</v>
      </c>
      <c r="D24" s="264" t="s">
        <v>2452</v>
      </c>
      <c r="E24" s="267">
        <f t="shared" si="3"/>
        <v>39960</v>
      </c>
      <c r="F24" s="267">
        <f t="shared" si="0"/>
        <v>31968</v>
      </c>
      <c r="G24" s="267">
        <f t="shared" si="3"/>
        <v>46620</v>
      </c>
      <c r="H24" s="267">
        <f t="shared" si="1"/>
        <v>37296</v>
      </c>
    </row>
    <row r="25" spans="1:8" s="39" customFormat="1" ht="20.100000000000001" customHeight="1" x14ac:dyDescent="0.25">
      <c r="A25" s="39" t="s">
        <v>2961</v>
      </c>
      <c r="B25" s="39" t="str">
        <f t="shared" si="2"/>
        <v>PR_CAYEY</v>
      </c>
      <c r="D25" s="264" t="s">
        <v>2453</v>
      </c>
      <c r="E25" s="267">
        <f t="shared" ref="E25:G40" si="4">F25/0.8</f>
        <v>37200</v>
      </c>
      <c r="F25" s="267">
        <f t="shared" si="0"/>
        <v>29760</v>
      </c>
      <c r="G25" s="267">
        <f t="shared" si="4"/>
        <v>43400</v>
      </c>
      <c r="H25" s="267">
        <f t="shared" si="1"/>
        <v>34720</v>
      </c>
    </row>
    <row r="26" spans="1:8" s="39" customFormat="1" ht="20.100000000000001" customHeight="1" x14ac:dyDescent="0.25">
      <c r="A26" s="39" t="s">
        <v>2961</v>
      </c>
      <c r="B26" s="39" t="str">
        <f t="shared" si="2"/>
        <v>PR_CEIBA</v>
      </c>
      <c r="D26" s="264" t="s">
        <v>2454</v>
      </c>
      <c r="E26" s="267">
        <f t="shared" si="4"/>
        <v>36360</v>
      </c>
      <c r="F26" s="267">
        <f t="shared" si="0"/>
        <v>29088</v>
      </c>
      <c r="G26" s="267">
        <f t="shared" si="4"/>
        <v>42420</v>
      </c>
      <c r="H26" s="267">
        <f t="shared" si="1"/>
        <v>33936</v>
      </c>
    </row>
    <row r="27" spans="1:8" s="39" customFormat="1" ht="20.100000000000001" customHeight="1" x14ac:dyDescent="0.25">
      <c r="A27" s="39" t="s">
        <v>2961</v>
      </c>
      <c r="B27" s="39" t="str">
        <f t="shared" si="2"/>
        <v>PR_CIALES</v>
      </c>
      <c r="D27" s="264" t="s">
        <v>2455</v>
      </c>
      <c r="E27" s="267">
        <f t="shared" si="4"/>
        <v>28560</v>
      </c>
      <c r="F27" s="267">
        <f t="shared" si="0"/>
        <v>22848</v>
      </c>
      <c r="G27" s="267">
        <f t="shared" si="4"/>
        <v>33320</v>
      </c>
      <c r="H27" s="267">
        <f t="shared" si="1"/>
        <v>26656</v>
      </c>
    </row>
    <row r="28" spans="1:8" s="39" customFormat="1" ht="20.100000000000001" customHeight="1" x14ac:dyDescent="0.25">
      <c r="A28" s="39" t="s">
        <v>2961</v>
      </c>
      <c r="B28" s="39" t="str">
        <f t="shared" si="2"/>
        <v>PR_CIDRA</v>
      </c>
      <c r="D28" s="264" t="s">
        <v>2456</v>
      </c>
      <c r="E28" s="267">
        <f t="shared" si="4"/>
        <v>37200</v>
      </c>
      <c r="F28" s="267">
        <f t="shared" si="0"/>
        <v>29760</v>
      </c>
      <c r="G28" s="267">
        <f t="shared" si="4"/>
        <v>43400</v>
      </c>
      <c r="H28" s="267">
        <f t="shared" si="1"/>
        <v>34720</v>
      </c>
    </row>
    <row r="29" spans="1:8" s="39" customFormat="1" ht="20.100000000000001" customHeight="1" x14ac:dyDescent="0.25">
      <c r="A29" s="39" t="s">
        <v>2961</v>
      </c>
      <c r="B29" s="39" t="str">
        <f t="shared" si="2"/>
        <v>PR_COAMO</v>
      </c>
      <c r="D29" s="264" t="s">
        <v>2457</v>
      </c>
      <c r="E29" s="267">
        <f t="shared" si="4"/>
        <v>28320</v>
      </c>
      <c r="F29" s="267">
        <f t="shared" si="0"/>
        <v>22656</v>
      </c>
      <c r="G29" s="267">
        <f t="shared" si="4"/>
        <v>33040</v>
      </c>
      <c r="H29" s="267">
        <f t="shared" si="1"/>
        <v>26432</v>
      </c>
    </row>
    <row r="30" spans="1:8" s="39" customFormat="1" ht="20.100000000000001" customHeight="1" x14ac:dyDescent="0.25">
      <c r="A30" s="39" t="s">
        <v>2961</v>
      </c>
      <c r="B30" s="39" t="str">
        <f t="shared" si="2"/>
        <v>PR_COMERIO</v>
      </c>
      <c r="D30" s="264" t="s">
        <v>2458</v>
      </c>
      <c r="E30" s="267">
        <f t="shared" si="4"/>
        <v>39960</v>
      </c>
      <c r="F30" s="267">
        <f t="shared" si="0"/>
        <v>31968</v>
      </c>
      <c r="G30" s="267">
        <f t="shared" si="4"/>
        <v>46620</v>
      </c>
      <c r="H30" s="267">
        <f t="shared" si="1"/>
        <v>37296</v>
      </c>
    </row>
    <row r="31" spans="1:8" s="39" customFormat="1" ht="20.100000000000001" customHeight="1" x14ac:dyDescent="0.25">
      <c r="A31" s="39" t="s">
        <v>2961</v>
      </c>
      <c r="B31" s="39" t="str">
        <f t="shared" si="2"/>
        <v>PR_COROZAL</v>
      </c>
      <c r="D31" s="264" t="s">
        <v>2459</v>
      </c>
      <c r="E31" s="267">
        <f t="shared" si="4"/>
        <v>39960</v>
      </c>
      <c r="F31" s="267">
        <f t="shared" si="0"/>
        <v>31968</v>
      </c>
      <c r="G31" s="267">
        <f t="shared" si="4"/>
        <v>46620</v>
      </c>
      <c r="H31" s="267">
        <f t="shared" si="1"/>
        <v>37296</v>
      </c>
    </row>
    <row r="32" spans="1:8" s="39" customFormat="1" ht="20.100000000000001" customHeight="1" x14ac:dyDescent="0.25">
      <c r="A32" s="39" t="s">
        <v>2961</v>
      </c>
      <c r="B32" s="39" t="str">
        <f t="shared" si="2"/>
        <v>PR_CULEBRA</v>
      </c>
      <c r="D32" s="264" t="s">
        <v>2460</v>
      </c>
      <c r="E32" s="267">
        <f t="shared" si="4"/>
        <v>28320</v>
      </c>
      <c r="F32" s="267">
        <f t="shared" si="0"/>
        <v>22656</v>
      </c>
      <c r="G32" s="267">
        <f t="shared" si="4"/>
        <v>33040</v>
      </c>
      <c r="H32" s="267">
        <f t="shared" si="1"/>
        <v>26432</v>
      </c>
    </row>
    <row r="33" spans="1:8" s="39" customFormat="1" ht="20.100000000000001" customHeight="1" x14ac:dyDescent="0.25">
      <c r="A33" s="39" t="s">
        <v>2961</v>
      </c>
      <c r="B33" s="39" t="str">
        <f t="shared" si="2"/>
        <v>PR_DORADO</v>
      </c>
      <c r="D33" s="264" t="s">
        <v>2461</v>
      </c>
      <c r="E33" s="267">
        <f t="shared" si="4"/>
        <v>39960</v>
      </c>
      <c r="F33" s="267">
        <f t="shared" si="0"/>
        <v>31968</v>
      </c>
      <c r="G33" s="267">
        <f t="shared" si="4"/>
        <v>46620</v>
      </c>
      <c r="H33" s="267">
        <f t="shared" si="1"/>
        <v>37296</v>
      </c>
    </row>
    <row r="34" spans="1:8" s="39" customFormat="1" ht="20.100000000000001" customHeight="1" x14ac:dyDescent="0.25">
      <c r="A34" s="39" t="s">
        <v>2961</v>
      </c>
      <c r="B34" s="39" t="str">
        <f t="shared" si="2"/>
        <v>PR_FAJARDO</v>
      </c>
      <c r="D34" s="264" t="s">
        <v>2462</v>
      </c>
      <c r="E34" s="267">
        <f t="shared" si="4"/>
        <v>36360</v>
      </c>
      <c r="F34" s="267">
        <f t="shared" si="0"/>
        <v>29088</v>
      </c>
      <c r="G34" s="267">
        <f t="shared" si="4"/>
        <v>42420</v>
      </c>
      <c r="H34" s="267">
        <f t="shared" si="1"/>
        <v>33936</v>
      </c>
    </row>
    <row r="35" spans="1:8" s="39" customFormat="1" ht="20.100000000000001" customHeight="1" x14ac:dyDescent="0.25">
      <c r="A35" s="39" t="s">
        <v>2961</v>
      </c>
      <c r="B35" s="39" t="str">
        <f t="shared" si="2"/>
        <v>PR_FLORIDA</v>
      </c>
      <c r="D35" s="264" t="s">
        <v>2463</v>
      </c>
      <c r="E35" s="267">
        <f t="shared" si="4"/>
        <v>39960</v>
      </c>
      <c r="F35" s="267">
        <f t="shared" si="0"/>
        <v>31968</v>
      </c>
      <c r="G35" s="267">
        <f t="shared" si="4"/>
        <v>46620</v>
      </c>
      <c r="H35" s="267">
        <f t="shared" si="1"/>
        <v>37296</v>
      </c>
    </row>
    <row r="36" spans="1:8" s="39" customFormat="1" ht="20.100000000000001" customHeight="1" x14ac:dyDescent="0.25">
      <c r="A36" s="39" t="s">
        <v>2961</v>
      </c>
      <c r="B36" s="39" t="str">
        <f t="shared" si="2"/>
        <v>PR_GUANICA</v>
      </c>
      <c r="D36" s="264" t="s">
        <v>2464</v>
      </c>
      <c r="E36" s="267">
        <f t="shared" si="4"/>
        <v>28680</v>
      </c>
      <c r="F36" s="267">
        <f t="shared" si="0"/>
        <v>22944</v>
      </c>
      <c r="G36" s="267">
        <f t="shared" si="4"/>
        <v>33460</v>
      </c>
      <c r="H36" s="267">
        <f t="shared" si="1"/>
        <v>26768</v>
      </c>
    </row>
    <row r="37" spans="1:8" s="39" customFormat="1" ht="20.100000000000001" customHeight="1" x14ac:dyDescent="0.25">
      <c r="A37" s="39" t="s">
        <v>2961</v>
      </c>
      <c r="B37" s="39" t="str">
        <f t="shared" si="2"/>
        <v>PR_GUAYAMA</v>
      </c>
      <c r="D37" s="264" t="s">
        <v>2465</v>
      </c>
      <c r="E37" s="267">
        <f t="shared" si="4"/>
        <v>35640</v>
      </c>
      <c r="F37" s="267">
        <f t="shared" si="0"/>
        <v>28512</v>
      </c>
      <c r="G37" s="267">
        <f t="shared" si="4"/>
        <v>41580</v>
      </c>
      <c r="H37" s="267">
        <f t="shared" si="1"/>
        <v>33264</v>
      </c>
    </row>
    <row r="38" spans="1:8" s="39" customFormat="1" ht="20.100000000000001" customHeight="1" x14ac:dyDescent="0.25">
      <c r="A38" s="39" t="s">
        <v>2961</v>
      </c>
      <c r="B38" s="39" t="str">
        <f t="shared" si="2"/>
        <v>PR_GUAYANILLA</v>
      </c>
      <c r="D38" s="264" t="s">
        <v>2466</v>
      </c>
      <c r="E38" s="267">
        <f t="shared" si="4"/>
        <v>28680</v>
      </c>
      <c r="F38" s="267">
        <f t="shared" si="0"/>
        <v>22944</v>
      </c>
      <c r="G38" s="267">
        <f t="shared" si="4"/>
        <v>33460</v>
      </c>
      <c r="H38" s="267">
        <f t="shared" si="1"/>
        <v>26768</v>
      </c>
    </row>
    <row r="39" spans="1:8" s="39" customFormat="1" ht="20.100000000000001" customHeight="1" x14ac:dyDescent="0.25">
      <c r="A39" s="39" t="s">
        <v>2961</v>
      </c>
      <c r="B39" s="39" t="str">
        <f t="shared" si="2"/>
        <v>PR_GUAYNABO</v>
      </c>
      <c r="D39" s="264" t="s">
        <v>2467</v>
      </c>
      <c r="E39" s="267">
        <f t="shared" si="4"/>
        <v>39960</v>
      </c>
      <c r="F39" s="267">
        <f t="shared" si="0"/>
        <v>31968</v>
      </c>
      <c r="G39" s="267">
        <f t="shared" si="4"/>
        <v>46620</v>
      </c>
      <c r="H39" s="267">
        <f t="shared" si="1"/>
        <v>37296</v>
      </c>
    </row>
    <row r="40" spans="1:8" s="39" customFormat="1" ht="20.100000000000001" customHeight="1" x14ac:dyDescent="0.25">
      <c r="A40" s="39" t="s">
        <v>2961</v>
      </c>
      <c r="B40" s="39" t="str">
        <f t="shared" si="2"/>
        <v>PR_GURABO</v>
      </c>
      <c r="D40" s="264" t="s">
        <v>2468</v>
      </c>
      <c r="E40" s="267">
        <f t="shared" si="4"/>
        <v>37200</v>
      </c>
      <c r="F40" s="267">
        <f t="shared" ref="F40:F71" si="5">VLOOKUP(B40,LOOKUP_AMI_TABLE,8,FALSE)</f>
        <v>29760</v>
      </c>
      <c r="G40" s="267">
        <f t="shared" si="4"/>
        <v>43400</v>
      </c>
      <c r="H40" s="267">
        <f t="shared" ref="H40:H71" si="6">VLOOKUP(B40,LOOKUP_AMI_TABLE,12,FALSE)</f>
        <v>34720</v>
      </c>
    </row>
    <row r="41" spans="1:8" s="39" customFormat="1" ht="20.100000000000001" customHeight="1" x14ac:dyDescent="0.25">
      <c r="A41" s="39" t="s">
        <v>2961</v>
      </c>
      <c r="B41" s="39" t="str">
        <f t="shared" si="2"/>
        <v>PR_HATILLO</v>
      </c>
      <c r="D41" s="264" t="s">
        <v>2469</v>
      </c>
      <c r="E41" s="267">
        <f t="shared" ref="E41:E56" si="7">F41/0.8</f>
        <v>33840</v>
      </c>
      <c r="F41" s="267">
        <f t="shared" si="5"/>
        <v>27072</v>
      </c>
      <c r="G41" s="267">
        <f t="shared" ref="G41:G56" si="8">H41/0.8</f>
        <v>39480</v>
      </c>
      <c r="H41" s="267">
        <f t="shared" si="6"/>
        <v>31584</v>
      </c>
    </row>
    <row r="42" spans="1:8" s="39" customFormat="1" ht="20.100000000000001" customHeight="1" x14ac:dyDescent="0.25">
      <c r="A42" s="39" t="s">
        <v>2961</v>
      </c>
      <c r="B42" s="39" t="str">
        <f t="shared" si="2"/>
        <v>PR_HORMIGUEROS</v>
      </c>
      <c r="D42" s="264" t="s">
        <v>2470</v>
      </c>
      <c r="E42" s="267">
        <f t="shared" si="7"/>
        <v>31800</v>
      </c>
      <c r="F42" s="267">
        <f t="shared" si="5"/>
        <v>25440</v>
      </c>
      <c r="G42" s="267">
        <f t="shared" si="8"/>
        <v>37100</v>
      </c>
      <c r="H42" s="267">
        <f t="shared" si="6"/>
        <v>29680</v>
      </c>
    </row>
    <row r="43" spans="1:8" s="39" customFormat="1" ht="20.100000000000001" customHeight="1" x14ac:dyDescent="0.25">
      <c r="A43" s="39" t="s">
        <v>2961</v>
      </c>
      <c r="B43" s="39" t="str">
        <f t="shared" si="2"/>
        <v>PR_HUMACAO</v>
      </c>
      <c r="D43" s="264" t="s">
        <v>2471</v>
      </c>
      <c r="E43" s="267">
        <f t="shared" si="7"/>
        <v>39960</v>
      </c>
      <c r="F43" s="267">
        <f t="shared" si="5"/>
        <v>31968</v>
      </c>
      <c r="G43" s="267">
        <f t="shared" si="8"/>
        <v>46620</v>
      </c>
      <c r="H43" s="267">
        <f t="shared" si="6"/>
        <v>37296</v>
      </c>
    </row>
    <row r="44" spans="1:8" s="39" customFormat="1" ht="20.100000000000001" customHeight="1" x14ac:dyDescent="0.25">
      <c r="A44" s="39" t="s">
        <v>2961</v>
      </c>
      <c r="B44" s="39" t="str">
        <f t="shared" si="2"/>
        <v>PR_ISABELA</v>
      </c>
      <c r="D44" s="264" t="s">
        <v>2472</v>
      </c>
      <c r="E44" s="267">
        <f t="shared" si="7"/>
        <v>30600</v>
      </c>
      <c r="F44" s="267">
        <f t="shared" si="5"/>
        <v>24480</v>
      </c>
      <c r="G44" s="267">
        <f t="shared" si="8"/>
        <v>35700</v>
      </c>
      <c r="H44" s="267">
        <f t="shared" si="6"/>
        <v>28560</v>
      </c>
    </row>
    <row r="45" spans="1:8" s="39" customFormat="1" ht="20.100000000000001" customHeight="1" x14ac:dyDescent="0.25">
      <c r="A45" s="39" t="s">
        <v>2961</v>
      </c>
      <c r="B45" s="39" t="str">
        <f t="shared" si="2"/>
        <v>PR_JAYUYA</v>
      </c>
      <c r="D45" s="264" t="s">
        <v>2473</v>
      </c>
      <c r="E45" s="267">
        <f t="shared" si="7"/>
        <v>28320</v>
      </c>
      <c r="F45" s="267">
        <f t="shared" si="5"/>
        <v>22656</v>
      </c>
      <c r="G45" s="267">
        <f t="shared" si="8"/>
        <v>33040</v>
      </c>
      <c r="H45" s="267">
        <f t="shared" si="6"/>
        <v>26432</v>
      </c>
    </row>
    <row r="46" spans="1:8" s="39" customFormat="1" ht="20.100000000000001" customHeight="1" x14ac:dyDescent="0.25">
      <c r="A46" s="39" t="s">
        <v>2961</v>
      </c>
      <c r="B46" s="39" t="str">
        <f t="shared" si="2"/>
        <v>PR_JUANA DIAZ</v>
      </c>
      <c r="D46" s="264" t="s">
        <v>2474</v>
      </c>
      <c r="E46" s="267">
        <f t="shared" si="7"/>
        <v>34320</v>
      </c>
      <c r="F46" s="267">
        <f t="shared" si="5"/>
        <v>27456</v>
      </c>
      <c r="G46" s="267">
        <f t="shared" si="8"/>
        <v>40040</v>
      </c>
      <c r="H46" s="267">
        <f t="shared" si="6"/>
        <v>32032</v>
      </c>
    </row>
    <row r="47" spans="1:8" s="39" customFormat="1" ht="20.100000000000001" customHeight="1" x14ac:dyDescent="0.25">
      <c r="A47" s="39" t="s">
        <v>2961</v>
      </c>
      <c r="B47" s="39" t="str">
        <f t="shared" si="2"/>
        <v>PR_JUNCOS</v>
      </c>
      <c r="D47" s="264" t="s">
        <v>2475</v>
      </c>
      <c r="E47" s="267">
        <f t="shared" si="7"/>
        <v>39960</v>
      </c>
      <c r="F47" s="267">
        <f t="shared" si="5"/>
        <v>31968</v>
      </c>
      <c r="G47" s="267">
        <f t="shared" si="8"/>
        <v>46620</v>
      </c>
      <c r="H47" s="267">
        <f t="shared" si="6"/>
        <v>37296</v>
      </c>
    </row>
    <row r="48" spans="1:8" s="39" customFormat="1" ht="20.100000000000001" customHeight="1" x14ac:dyDescent="0.25">
      <c r="A48" s="39" t="s">
        <v>2961</v>
      </c>
      <c r="B48" s="39" t="str">
        <f t="shared" si="2"/>
        <v>PR_LAJAS</v>
      </c>
      <c r="D48" s="264" t="s">
        <v>2476</v>
      </c>
      <c r="E48" s="267">
        <f t="shared" si="7"/>
        <v>28320</v>
      </c>
      <c r="F48" s="267">
        <f t="shared" si="5"/>
        <v>22656</v>
      </c>
      <c r="G48" s="267">
        <f t="shared" si="8"/>
        <v>33040</v>
      </c>
      <c r="H48" s="267">
        <f t="shared" si="6"/>
        <v>26432</v>
      </c>
    </row>
    <row r="49" spans="1:8" s="39" customFormat="1" ht="20.100000000000001" customHeight="1" x14ac:dyDescent="0.25">
      <c r="A49" s="39" t="s">
        <v>2961</v>
      </c>
      <c r="B49" s="39" t="str">
        <f t="shared" si="2"/>
        <v>PR_LARES</v>
      </c>
      <c r="D49" s="264" t="s">
        <v>2477</v>
      </c>
      <c r="E49" s="267">
        <f t="shared" si="7"/>
        <v>30600</v>
      </c>
      <c r="F49" s="267">
        <f t="shared" si="5"/>
        <v>24480</v>
      </c>
      <c r="G49" s="267">
        <f t="shared" si="8"/>
        <v>35700</v>
      </c>
      <c r="H49" s="267">
        <f t="shared" si="6"/>
        <v>28560</v>
      </c>
    </row>
    <row r="50" spans="1:8" s="39" customFormat="1" ht="20.100000000000001" customHeight="1" x14ac:dyDescent="0.25">
      <c r="A50" s="39" t="s">
        <v>2961</v>
      </c>
      <c r="B50" s="39" t="str">
        <f t="shared" si="2"/>
        <v>PR_LAS MARIAS</v>
      </c>
      <c r="D50" s="264" t="s">
        <v>2478</v>
      </c>
      <c r="E50" s="267">
        <f t="shared" si="7"/>
        <v>28320</v>
      </c>
      <c r="F50" s="267">
        <f t="shared" si="5"/>
        <v>22656</v>
      </c>
      <c r="G50" s="267">
        <f t="shared" si="8"/>
        <v>33040</v>
      </c>
      <c r="H50" s="267">
        <f t="shared" si="6"/>
        <v>26432</v>
      </c>
    </row>
    <row r="51" spans="1:8" s="39" customFormat="1" ht="20.100000000000001" customHeight="1" x14ac:dyDescent="0.25">
      <c r="A51" s="39" t="s">
        <v>2961</v>
      </c>
      <c r="B51" s="39" t="str">
        <f t="shared" si="2"/>
        <v>PR_LAS PIEDRAS</v>
      </c>
      <c r="D51" s="264" t="s">
        <v>2479</v>
      </c>
      <c r="E51" s="267">
        <f t="shared" si="7"/>
        <v>39960</v>
      </c>
      <c r="F51" s="267">
        <f t="shared" si="5"/>
        <v>31968</v>
      </c>
      <c r="G51" s="267">
        <f t="shared" si="8"/>
        <v>46620</v>
      </c>
      <c r="H51" s="267">
        <f t="shared" si="6"/>
        <v>37296</v>
      </c>
    </row>
    <row r="52" spans="1:8" s="39" customFormat="1" ht="20.100000000000001" customHeight="1" x14ac:dyDescent="0.25">
      <c r="A52" s="39" t="s">
        <v>2961</v>
      </c>
      <c r="B52" s="39" t="str">
        <f t="shared" si="2"/>
        <v>PR_LOIZA</v>
      </c>
      <c r="D52" s="264" t="s">
        <v>2480</v>
      </c>
      <c r="E52" s="267">
        <f t="shared" si="7"/>
        <v>39960</v>
      </c>
      <c r="F52" s="267">
        <f t="shared" si="5"/>
        <v>31968</v>
      </c>
      <c r="G52" s="267">
        <f t="shared" si="8"/>
        <v>46620</v>
      </c>
      <c r="H52" s="267">
        <f t="shared" si="6"/>
        <v>37296</v>
      </c>
    </row>
    <row r="53" spans="1:8" s="39" customFormat="1" ht="20.100000000000001" customHeight="1" x14ac:dyDescent="0.25">
      <c r="A53" s="39" t="s">
        <v>2961</v>
      </c>
      <c r="B53" s="39" t="str">
        <f t="shared" si="2"/>
        <v>PR_LUQUILLO</v>
      </c>
      <c r="D53" s="264" t="s">
        <v>2481</v>
      </c>
      <c r="E53" s="267">
        <f t="shared" si="7"/>
        <v>36360</v>
      </c>
      <c r="F53" s="267">
        <f t="shared" si="5"/>
        <v>29088</v>
      </c>
      <c r="G53" s="267">
        <f t="shared" si="8"/>
        <v>42420</v>
      </c>
      <c r="H53" s="267">
        <f t="shared" si="6"/>
        <v>33936</v>
      </c>
    </row>
    <row r="54" spans="1:8" s="39" customFormat="1" ht="20.100000000000001" customHeight="1" x14ac:dyDescent="0.25">
      <c r="A54" s="39" t="s">
        <v>2961</v>
      </c>
      <c r="B54" s="39" t="str">
        <f t="shared" si="2"/>
        <v>PR_MANATI</v>
      </c>
      <c r="D54" s="264" t="s">
        <v>2119</v>
      </c>
      <c r="E54" s="267">
        <f t="shared" si="7"/>
        <v>39960</v>
      </c>
      <c r="F54" s="267">
        <f t="shared" si="5"/>
        <v>31968</v>
      </c>
      <c r="G54" s="267">
        <f t="shared" si="8"/>
        <v>46620</v>
      </c>
      <c r="H54" s="267">
        <f t="shared" si="6"/>
        <v>37296</v>
      </c>
    </row>
    <row r="55" spans="1:8" s="39" customFormat="1" ht="20.100000000000001" customHeight="1" x14ac:dyDescent="0.25">
      <c r="A55" s="39" t="s">
        <v>2961</v>
      </c>
      <c r="B55" s="39" t="str">
        <f t="shared" si="2"/>
        <v>PR_MARICAO</v>
      </c>
      <c r="D55" s="264" t="s">
        <v>2482</v>
      </c>
      <c r="E55" s="267">
        <f t="shared" si="7"/>
        <v>28320</v>
      </c>
      <c r="F55" s="267">
        <f t="shared" si="5"/>
        <v>22656</v>
      </c>
      <c r="G55" s="267">
        <f t="shared" si="8"/>
        <v>33040</v>
      </c>
      <c r="H55" s="267">
        <f t="shared" si="6"/>
        <v>26432</v>
      </c>
    </row>
    <row r="56" spans="1:8" s="39" customFormat="1" ht="20.100000000000001" customHeight="1" x14ac:dyDescent="0.25">
      <c r="A56" s="39" t="s">
        <v>2961</v>
      </c>
      <c r="B56" s="39" t="str">
        <f t="shared" si="2"/>
        <v>PR_MAUNABO</v>
      </c>
      <c r="D56" s="264" t="s">
        <v>2483</v>
      </c>
      <c r="E56" s="267">
        <f t="shared" si="7"/>
        <v>28560</v>
      </c>
      <c r="F56" s="267">
        <f t="shared" si="5"/>
        <v>22848</v>
      </c>
      <c r="G56" s="267">
        <f t="shared" si="8"/>
        <v>33320</v>
      </c>
      <c r="H56" s="267">
        <f t="shared" si="6"/>
        <v>26656</v>
      </c>
    </row>
    <row r="57" spans="1:8" s="39" customFormat="1" ht="20.100000000000001" customHeight="1" x14ac:dyDescent="0.25">
      <c r="A57" s="39" t="s">
        <v>2961</v>
      </c>
      <c r="B57" s="39" t="str">
        <f t="shared" si="2"/>
        <v>PR_MAYAGUEZ</v>
      </c>
      <c r="D57" s="264" t="s">
        <v>2484</v>
      </c>
      <c r="E57" s="267">
        <f t="shared" ref="E57:E69" si="9">F57/0.8</f>
        <v>31800</v>
      </c>
      <c r="F57" s="267">
        <f t="shared" si="5"/>
        <v>25440</v>
      </c>
      <c r="G57" s="267">
        <f t="shared" ref="G57:G69" si="10">H57/0.8</f>
        <v>37100</v>
      </c>
      <c r="H57" s="267">
        <f t="shared" si="6"/>
        <v>29680</v>
      </c>
    </row>
    <row r="58" spans="1:8" s="39" customFormat="1" ht="20.100000000000001" customHeight="1" x14ac:dyDescent="0.25">
      <c r="A58" s="39" t="s">
        <v>2961</v>
      </c>
      <c r="B58" s="39" t="str">
        <f t="shared" si="2"/>
        <v>PR_MOCA</v>
      </c>
      <c r="D58" s="264" t="s">
        <v>2485</v>
      </c>
      <c r="E58" s="267">
        <f t="shared" si="9"/>
        <v>30600</v>
      </c>
      <c r="F58" s="267">
        <f t="shared" si="5"/>
        <v>24480</v>
      </c>
      <c r="G58" s="267">
        <f t="shared" si="10"/>
        <v>35700</v>
      </c>
      <c r="H58" s="267">
        <f t="shared" si="6"/>
        <v>28560</v>
      </c>
    </row>
    <row r="59" spans="1:8" s="39" customFormat="1" ht="20.100000000000001" customHeight="1" x14ac:dyDescent="0.25">
      <c r="A59" s="39" t="s">
        <v>2961</v>
      </c>
      <c r="B59" s="39" t="str">
        <f t="shared" si="2"/>
        <v>PR_MOROVIS</v>
      </c>
      <c r="D59" s="264" t="s">
        <v>2486</v>
      </c>
      <c r="E59" s="267">
        <f t="shared" si="9"/>
        <v>39960</v>
      </c>
      <c r="F59" s="267">
        <f t="shared" si="5"/>
        <v>31968</v>
      </c>
      <c r="G59" s="267">
        <f t="shared" si="10"/>
        <v>46620</v>
      </c>
      <c r="H59" s="267">
        <f t="shared" si="6"/>
        <v>37296</v>
      </c>
    </row>
    <row r="60" spans="1:8" s="39" customFormat="1" ht="20.100000000000001" customHeight="1" x14ac:dyDescent="0.25">
      <c r="A60" s="39" t="s">
        <v>2961</v>
      </c>
      <c r="B60" s="39" t="str">
        <f t="shared" si="2"/>
        <v>PR_NAGUABO</v>
      </c>
      <c r="D60" s="264" t="s">
        <v>2487</v>
      </c>
      <c r="E60" s="267">
        <f t="shared" si="9"/>
        <v>39960</v>
      </c>
      <c r="F60" s="267">
        <f t="shared" si="5"/>
        <v>31968</v>
      </c>
      <c r="G60" s="267">
        <f t="shared" si="10"/>
        <v>46620</v>
      </c>
      <c r="H60" s="267">
        <f t="shared" si="6"/>
        <v>37296</v>
      </c>
    </row>
    <row r="61" spans="1:8" s="39" customFormat="1" ht="20.100000000000001" customHeight="1" x14ac:dyDescent="0.25">
      <c r="A61" s="39" t="s">
        <v>2961</v>
      </c>
      <c r="B61" s="39" t="str">
        <f t="shared" si="2"/>
        <v>PR_NARANJITO</v>
      </c>
      <c r="D61" s="264" t="s">
        <v>2488</v>
      </c>
      <c r="E61" s="267">
        <f t="shared" si="9"/>
        <v>39960</v>
      </c>
      <c r="F61" s="267">
        <f t="shared" si="5"/>
        <v>31968</v>
      </c>
      <c r="G61" s="267">
        <f t="shared" si="10"/>
        <v>46620</v>
      </c>
      <c r="H61" s="267">
        <f t="shared" si="6"/>
        <v>37296</v>
      </c>
    </row>
    <row r="62" spans="1:8" s="39" customFormat="1" ht="20.100000000000001" customHeight="1" x14ac:dyDescent="0.25">
      <c r="A62" s="39" t="s">
        <v>2961</v>
      </c>
      <c r="B62" s="39" t="str">
        <f t="shared" si="2"/>
        <v>PR_OROCOVIS</v>
      </c>
      <c r="D62" s="264" t="s">
        <v>2489</v>
      </c>
      <c r="E62" s="267">
        <f t="shared" si="9"/>
        <v>28560</v>
      </c>
      <c r="F62" s="267">
        <f t="shared" si="5"/>
        <v>22848</v>
      </c>
      <c r="G62" s="267">
        <f t="shared" si="10"/>
        <v>33320</v>
      </c>
      <c r="H62" s="267">
        <f t="shared" si="6"/>
        <v>26656</v>
      </c>
    </row>
    <row r="63" spans="1:8" s="39" customFormat="1" ht="20.100000000000001" customHeight="1" x14ac:dyDescent="0.25">
      <c r="A63" s="39" t="s">
        <v>2961</v>
      </c>
      <c r="B63" s="39" t="str">
        <f t="shared" si="2"/>
        <v>PR_PATILLAS</v>
      </c>
      <c r="D63" s="264" t="s">
        <v>2490</v>
      </c>
      <c r="E63" s="267">
        <f t="shared" si="9"/>
        <v>35640</v>
      </c>
      <c r="F63" s="267">
        <f t="shared" si="5"/>
        <v>28512</v>
      </c>
      <c r="G63" s="267">
        <f t="shared" si="10"/>
        <v>41580</v>
      </c>
      <c r="H63" s="267">
        <f t="shared" si="6"/>
        <v>33264</v>
      </c>
    </row>
    <row r="64" spans="1:8" s="39" customFormat="1" ht="20.100000000000001" customHeight="1" x14ac:dyDescent="0.25">
      <c r="A64" s="39" t="s">
        <v>2961</v>
      </c>
      <c r="B64" s="39" t="str">
        <f t="shared" si="2"/>
        <v>PR_PENUELAS</v>
      </c>
      <c r="D64" s="264" t="s">
        <v>2491</v>
      </c>
      <c r="E64" s="267">
        <f t="shared" si="9"/>
        <v>28680</v>
      </c>
      <c r="F64" s="267">
        <f t="shared" si="5"/>
        <v>22944</v>
      </c>
      <c r="G64" s="267">
        <f t="shared" si="10"/>
        <v>33460</v>
      </c>
      <c r="H64" s="267">
        <f t="shared" si="6"/>
        <v>26768</v>
      </c>
    </row>
    <row r="65" spans="1:8" s="39" customFormat="1" ht="20.100000000000001" customHeight="1" x14ac:dyDescent="0.25">
      <c r="A65" s="39" t="s">
        <v>2961</v>
      </c>
      <c r="B65" s="39" t="str">
        <f t="shared" si="2"/>
        <v>PR_PONCE</v>
      </c>
      <c r="D65" s="264" t="s">
        <v>2492</v>
      </c>
      <c r="E65" s="267">
        <f t="shared" si="9"/>
        <v>34320</v>
      </c>
      <c r="F65" s="267">
        <f t="shared" si="5"/>
        <v>27456</v>
      </c>
      <c r="G65" s="267">
        <f t="shared" si="10"/>
        <v>40040</v>
      </c>
      <c r="H65" s="267">
        <f t="shared" si="6"/>
        <v>32032</v>
      </c>
    </row>
    <row r="66" spans="1:8" s="39" customFormat="1" ht="20.100000000000001" customHeight="1" x14ac:dyDescent="0.25">
      <c r="A66" s="39" t="s">
        <v>2961</v>
      </c>
      <c r="B66" s="39" t="str">
        <f t="shared" si="2"/>
        <v>PR_QUEBRADILLAS</v>
      </c>
      <c r="D66" s="264" t="s">
        <v>2493</v>
      </c>
      <c r="E66" s="267">
        <f t="shared" si="9"/>
        <v>28560</v>
      </c>
      <c r="F66" s="267">
        <f t="shared" si="5"/>
        <v>22848</v>
      </c>
      <c r="G66" s="267">
        <f t="shared" si="10"/>
        <v>33320</v>
      </c>
      <c r="H66" s="267">
        <f t="shared" si="6"/>
        <v>26656</v>
      </c>
    </row>
    <row r="67" spans="1:8" s="39" customFormat="1" ht="20.100000000000001" customHeight="1" x14ac:dyDescent="0.25">
      <c r="A67" s="39" t="s">
        <v>2961</v>
      </c>
      <c r="B67" s="39" t="str">
        <f t="shared" si="2"/>
        <v>PR_RINCON</v>
      </c>
      <c r="D67" s="264" t="s">
        <v>2494</v>
      </c>
      <c r="E67" s="267">
        <f t="shared" si="9"/>
        <v>30600</v>
      </c>
      <c r="F67" s="267">
        <f t="shared" si="5"/>
        <v>24480</v>
      </c>
      <c r="G67" s="267">
        <f t="shared" si="10"/>
        <v>35700</v>
      </c>
      <c r="H67" s="267">
        <f t="shared" si="6"/>
        <v>28560</v>
      </c>
    </row>
    <row r="68" spans="1:8" s="39" customFormat="1" ht="20.100000000000001" customHeight="1" x14ac:dyDescent="0.25">
      <c r="A68" s="39" t="s">
        <v>2961</v>
      </c>
      <c r="B68" s="39" t="str">
        <f t="shared" si="2"/>
        <v>PR_RIO GRANDE</v>
      </c>
      <c r="D68" s="264" t="s">
        <v>2495</v>
      </c>
      <c r="E68" s="267">
        <f t="shared" si="9"/>
        <v>39960</v>
      </c>
      <c r="F68" s="267">
        <f t="shared" si="5"/>
        <v>31968</v>
      </c>
      <c r="G68" s="267">
        <f t="shared" si="10"/>
        <v>46620</v>
      </c>
      <c r="H68" s="267">
        <f t="shared" si="6"/>
        <v>37296</v>
      </c>
    </row>
    <row r="69" spans="1:8" s="39" customFormat="1" ht="20.100000000000001" customHeight="1" x14ac:dyDescent="0.25">
      <c r="A69" s="39" t="s">
        <v>2961</v>
      </c>
      <c r="B69" s="39" t="str">
        <f t="shared" si="2"/>
        <v>PR_SABANA GRANDE</v>
      </c>
      <c r="D69" s="264" t="s">
        <v>2496</v>
      </c>
      <c r="E69" s="267">
        <f t="shared" si="9"/>
        <v>28320</v>
      </c>
      <c r="F69" s="267">
        <f t="shared" si="5"/>
        <v>22656</v>
      </c>
      <c r="G69" s="267">
        <f t="shared" si="10"/>
        <v>33040</v>
      </c>
      <c r="H69" s="267">
        <f t="shared" si="6"/>
        <v>26432</v>
      </c>
    </row>
    <row r="70" spans="1:8" s="39" customFormat="1" ht="20.100000000000001" customHeight="1" x14ac:dyDescent="0.25">
      <c r="A70" s="39" t="s">
        <v>2961</v>
      </c>
      <c r="B70" s="39" t="str">
        <f t="shared" si="2"/>
        <v>PR_SALINAS</v>
      </c>
      <c r="D70" s="264" t="s">
        <v>2497</v>
      </c>
      <c r="E70" s="267">
        <f t="shared" ref="E70" si="11">F70/0.8</f>
        <v>28320</v>
      </c>
      <c r="F70" s="267">
        <f t="shared" si="5"/>
        <v>22656</v>
      </c>
      <c r="G70" s="267">
        <f t="shared" ref="G70" si="12">H70/0.8</f>
        <v>33040</v>
      </c>
      <c r="H70" s="267">
        <f t="shared" si="6"/>
        <v>26432</v>
      </c>
    </row>
    <row r="71" spans="1:8" s="39" customFormat="1" ht="20.100000000000001" customHeight="1" x14ac:dyDescent="0.25">
      <c r="A71" s="39" t="s">
        <v>2961</v>
      </c>
      <c r="B71" s="39" t="str">
        <f t="shared" si="2"/>
        <v>PR_SAN GERMAN</v>
      </c>
      <c r="D71" s="264" t="s">
        <v>2498</v>
      </c>
      <c r="E71" s="267">
        <f t="shared" ref="E71" si="13">F71/0.8</f>
        <v>28320</v>
      </c>
      <c r="F71" s="267">
        <f t="shared" si="5"/>
        <v>22656</v>
      </c>
      <c r="G71" s="267">
        <f t="shared" ref="G71" si="14">H71/0.8</f>
        <v>33040</v>
      </c>
      <c r="H71" s="267">
        <f t="shared" si="6"/>
        <v>26432</v>
      </c>
    </row>
    <row r="72" spans="1:8" s="39" customFormat="1" ht="20.100000000000001" customHeight="1" x14ac:dyDescent="0.25">
      <c r="A72" s="39" t="s">
        <v>2961</v>
      </c>
      <c r="B72" s="39" t="str">
        <f t="shared" si="2"/>
        <v>PR_SAN JUAN</v>
      </c>
      <c r="D72" s="264" t="s">
        <v>2499</v>
      </c>
      <c r="E72" s="267">
        <f t="shared" ref="E72" si="15">F72/0.8</f>
        <v>39960</v>
      </c>
      <c r="F72" s="267">
        <f t="shared" ref="F72:F85" si="16">VLOOKUP(B72,LOOKUP_AMI_TABLE,8,FALSE)</f>
        <v>31968</v>
      </c>
      <c r="G72" s="267">
        <f t="shared" ref="G72" si="17">H72/0.8</f>
        <v>46620</v>
      </c>
      <c r="H72" s="267">
        <f t="shared" ref="H72:H85" si="18">VLOOKUP(B72,LOOKUP_AMI_TABLE,12,FALSE)</f>
        <v>37296</v>
      </c>
    </row>
    <row r="73" spans="1:8" s="39" customFormat="1" ht="20.100000000000001" customHeight="1" x14ac:dyDescent="0.25">
      <c r="A73" s="39" t="s">
        <v>2961</v>
      </c>
      <c r="B73" s="39" t="str">
        <f t="shared" ref="B73:B85" si="19">"PR_"&amp;UPPER(TRIM(D73))</f>
        <v>PR_SAN LORENZO</v>
      </c>
      <c r="D73" s="264" t="s">
        <v>2500</v>
      </c>
      <c r="E73" s="267">
        <f t="shared" ref="E73" si="20">F73/0.8</f>
        <v>37200</v>
      </c>
      <c r="F73" s="267">
        <f t="shared" si="16"/>
        <v>29760</v>
      </c>
      <c r="G73" s="267">
        <f t="shared" ref="G73" si="21">H73/0.8</f>
        <v>43400</v>
      </c>
      <c r="H73" s="267">
        <f t="shared" si="18"/>
        <v>34720</v>
      </c>
    </row>
    <row r="74" spans="1:8" s="39" customFormat="1" ht="20.100000000000001" customHeight="1" x14ac:dyDescent="0.25">
      <c r="A74" s="39" t="s">
        <v>2961</v>
      </c>
      <c r="B74" s="39" t="str">
        <f t="shared" si="19"/>
        <v>PR_SAN SEBASTIAN</v>
      </c>
      <c r="D74" s="264" t="s">
        <v>2501</v>
      </c>
      <c r="E74" s="267">
        <f t="shared" ref="E74" si="22">F74/0.8</f>
        <v>30600</v>
      </c>
      <c r="F74" s="267">
        <f t="shared" si="16"/>
        <v>24480</v>
      </c>
      <c r="G74" s="267">
        <f t="shared" ref="G74" si="23">H74/0.8</f>
        <v>35700</v>
      </c>
      <c r="H74" s="267">
        <f t="shared" si="18"/>
        <v>28560</v>
      </c>
    </row>
    <row r="75" spans="1:8" s="39" customFormat="1" ht="20.100000000000001" customHeight="1" x14ac:dyDescent="0.25">
      <c r="A75" s="39" t="s">
        <v>2961</v>
      </c>
      <c r="B75" s="39" t="str">
        <f t="shared" si="19"/>
        <v>PR_SANTA ISABEL</v>
      </c>
      <c r="D75" s="264" t="s">
        <v>2502</v>
      </c>
      <c r="E75" s="267">
        <f t="shared" ref="E75" si="24">F75/0.8</f>
        <v>28320</v>
      </c>
      <c r="F75" s="267">
        <f t="shared" si="16"/>
        <v>22656</v>
      </c>
      <c r="G75" s="267">
        <f t="shared" ref="G75" si="25">H75/0.8</f>
        <v>33040</v>
      </c>
      <c r="H75" s="267">
        <f t="shared" si="18"/>
        <v>26432</v>
      </c>
    </row>
    <row r="76" spans="1:8" s="39" customFormat="1" ht="20.100000000000001" customHeight="1" x14ac:dyDescent="0.25">
      <c r="A76" s="39" t="s">
        <v>2961</v>
      </c>
      <c r="B76" s="39" t="str">
        <f t="shared" si="19"/>
        <v>PR_TOA ALTA</v>
      </c>
      <c r="D76" s="264" t="s">
        <v>2503</v>
      </c>
      <c r="E76" s="267">
        <f t="shared" ref="E76" si="26">F76/0.8</f>
        <v>39960</v>
      </c>
      <c r="F76" s="267">
        <f t="shared" si="16"/>
        <v>31968</v>
      </c>
      <c r="G76" s="267">
        <f t="shared" ref="G76" si="27">H76/0.8</f>
        <v>46620</v>
      </c>
      <c r="H76" s="267">
        <f t="shared" si="18"/>
        <v>37296</v>
      </c>
    </row>
    <row r="77" spans="1:8" s="39" customFormat="1" ht="20.100000000000001" customHeight="1" x14ac:dyDescent="0.25">
      <c r="A77" s="39" t="s">
        <v>2961</v>
      </c>
      <c r="B77" s="39" t="str">
        <f t="shared" si="19"/>
        <v>PR_TOA BAJA</v>
      </c>
      <c r="D77" s="264" t="s">
        <v>2504</v>
      </c>
      <c r="E77" s="267">
        <f t="shared" ref="E77" si="28">F77/0.8</f>
        <v>39960</v>
      </c>
      <c r="F77" s="267">
        <f t="shared" si="16"/>
        <v>31968</v>
      </c>
      <c r="G77" s="267">
        <f t="shared" ref="G77" si="29">H77/0.8</f>
        <v>46620</v>
      </c>
      <c r="H77" s="267">
        <f t="shared" si="18"/>
        <v>37296</v>
      </c>
    </row>
    <row r="78" spans="1:8" s="39" customFormat="1" ht="20.100000000000001" customHeight="1" x14ac:dyDescent="0.25">
      <c r="A78" s="39" t="s">
        <v>2961</v>
      </c>
      <c r="B78" s="39" t="str">
        <f t="shared" si="19"/>
        <v>PR_TRUJILLO ALTO</v>
      </c>
      <c r="D78" s="264" t="s">
        <v>2505</v>
      </c>
      <c r="E78" s="267">
        <f t="shared" ref="E78" si="30">F78/0.8</f>
        <v>39960</v>
      </c>
      <c r="F78" s="267">
        <f t="shared" si="16"/>
        <v>31968</v>
      </c>
      <c r="G78" s="267">
        <f t="shared" ref="G78" si="31">H78/0.8</f>
        <v>46620</v>
      </c>
      <c r="H78" s="267">
        <f t="shared" si="18"/>
        <v>37296</v>
      </c>
    </row>
    <row r="79" spans="1:8" s="39" customFormat="1" ht="20.100000000000001" customHeight="1" x14ac:dyDescent="0.25">
      <c r="A79" s="39" t="s">
        <v>2961</v>
      </c>
      <c r="B79" s="39" t="str">
        <f t="shared" si="19"/>
        <v>PR_UTUADO</v>
      </c>
      <c r="D79" s="264" t="s">
        <v>2506</v>
      </c>
      <c r="E79" s="267">
        <f t="shared" ref="E79" si="32">F79/0.8</f>
        <v>29520</v>
      </c>
      <c r="F79" s="267">
        <f t="shared" si="16"/>
        <v>23616</v>
      </c>
      <c r="G79" s="267">
        <f t="shared" ref="G79" si="33">H79/0.8</f>
        <v>34440</v>
      </c>
      <c r="H79" s="267">
        <f t="shared" si="18"/>
        <v>27552</v>
      </c>
    </row>
    <row r="80" spans="1:8" s="39" customFormat="1" ht="20.100000000000001" customHeight="1" x14ac:dyDescent="0.25">
      <c r="A80" s="39" t="s">
        <v>2961</v>
      </c>
      <c r="B80" s="39" t="str">
        <f t="shared" si="19"/>
        <v>PR_VEGA ALTA</v>
      </c>
      <c r="D80" s="264" t="s">
        <v>2507</v>
      </c>
      <c r="E80" s="267">
        <f t="shared" ref="E80" si="34">F80/0.8</f>
        <v>39960</v>
      </c>
      <c r="F80" s="267">
        <f t="shared" si="16"/>
        <v>31968</v>
      </c>
      <c r="G80" s="267">
        <f t="shared" ref="G80" si="35">H80/0.8</f>
        <v>46620</v>
      </c>
      <c r="H80" s="267">
        <f t="shared" si="18"/>
        <v>37296</v>
      </c>
    </row>
    <row r="81" spans="1:8" s="39" customFormat="1" ht="20.100000000000001" customHeight="1" x14ac:dyDescent="0.25">
      <c r="A81" s="39" t="s">
        <v>2961</v>
      </c>
      <c r="B81" s="39" t="str">
        <f t="shared" si="19"/>
        <v>PR_VEGA BAJA</v>
      </c>
      <c r="D81" s="264" t="s">
        <v>2508</v>
      </c>
      <c r="E81" s="267">
        <f t="shared" ref="E81" si="36">F81/0.8</f>
        <v>39960</v>
      </c>
      <c r="F81" s="267">
        <f t="shared" si="16"/>
        <v>31968</v>
      </c>
      <c r="G81" s="267">
        <f t="shared" ref="G81" si="37">H81/0.8</f>
        <v>46620</v>
      </c>
      <c r="H81" s="267">
        <f t="shared" si="18"/>
        <v>37296</v>
      </c>
    </row>
    <row r="82" spans="1:8" s="39" customFormat="1" ht="20.100000000000001" customHeight="1" x14ac:dyDescent="0.25">
      <c r="A82" s="39" t="s">
        <v>2961</v>
      </c>
      <c r="B82" s="39" t="str">
        <f t="shared" si="19"/>
        <v>PR_VIEQUES</v>
      </c>
      <c r="D82" s="264" t="s">
        <v>2509</v>
      </c>
      <c r="E82" s="267">
        <f t="shared" ref="E82" si="38">F82/0.8</f>
        <v>28320</v>
      </c>
      <c r="F82" s="267">
        <f t="shared" si="16"/>
        <v>22656</v>
      </c>
      <c r="G82" s="267">
        <f t="shared" ref="G82" si="39">H82/0.8</f>
        <v>33040</v>
      </c>
      <c r="H82" s="267">
        <f t="shared" si="18"/>
        <v>26432</v>
      </c>
    </row>
    <row r="83" spans="1:8" s="39" customFormat="1" ht="20.100000000000001" customHeight="1" x14ac:dyDescent="0.25">
      <c r="A83" s="39" t="s">
        <v>2961</v>
      </c>
      <c r="B83" s="39" t="str">
        <f t="shared" si="19"/>
        <v>PR_VILLALBA</v>
      </c>
      <c r="D83" s="264" t="s">
        <v>2510</v>
      </c>
      <c r="E83" s="267">
        <f t="shared" ref="E83" si="40">F83/0.8</f>
        <v>34320</v>
      </c>
      <c r="F83" s="267">
        <f t="shared" si="16"/>
        <v>27456</v>
      </c>
      <c r="G83" s="267">
        <f t="shared" ref="G83" si="41">H83/0.8</f>
        <v>40040</v>
      </c>
      <c r="H83" s="267">
        <f t="shared" si="18"/>
        <v>32032</v>
      </c>
    </row>
    <row r="84" spans="1:8" s="39" customFormat="1" ht="20.100000000000001" customHeight="1" x14ac:dyDescent="0.25">
      <c r="A84" s="39" t="s">
        <v>2961</v>
      </c>
      <c r="B84" s="39" t="str">
        <f t="shared" si="19"/>
        <v>PR_YABUCOA</v>
      </c>
      <c r="D84" s="264" t="s">
        <v>2511</v>
      </c>
      <c r="E84" s="267">
        <f t="shared" ref="E84" si="42">F84/0.8</f>
        <v>39960</v>
      </c>
      <c r="F84" s="267">
        <f t="shared" si="16"/>
        <v>31968</v>
      </c>
      <c r="G84" s="267">
        <f t="shared" ref="G84" si="43">H84/0.8</f>
        <v>46620</v>
      </c>
      <c r="H84" s="267">
        <f t="shared" si="18"/>
        <v>37296</v>
      </c>
    </row>
    <row r="85" spans="1:8" s="39" customFormat="1" ht="20.100000000000001" customHeight="1" x14ac:dyDescent="0.25">
      <c r="A85" s="39" t="s">
        <v>2961</v>
      </c>
      <c r="B85" s="39" t="str">
        <f t="shared" si="19"/>
        <v>PR_YAUCO</v>
      </c>
      <c r="D85" s="264" t="s">
        <v>2512</v>
      </c>
      <c r="E85" s="267">
        <f t="shared" ref="E85" si="44">F85/0.8</f>
        <v>28680</v>
      </c>
      <c r="F85" s="267">
        <f t="shared" si="16"/>
        <v>22944</v>
      </c>
      <c r="G85" s="267">
        <f t="shared" ref="G85" si="45">H85/0.8</f>
        <v>33460</v>
      </c>
      <c r="H85" s="267">
        <f t="shared" si="18"/>
        <v>26768</v>
      </c>
    </row>
    <row r="86" spans="1:8" ht="15" customHeight="1" x14ac:dyDescent="0.25"/>
  </sheetData>
  <sheetProtection algorithmName="SHA-512" hashValue="gxzveyRmR2B8zUOJJeHpulviBKILrjha8EBzIkjAB1u58DVN2lAvtySxHmHJeTkl+zbtVVZ3a5vI1FtuUGjEQQ==" saltValue="OWq0DBgiNqZidU3/65jo3Q==" spinCount="100000" sheet="1" objects="1" scenarios="1"/>
  <mergeCells count="3">
    <mergeCell ref="F2:H2"/>
    <mergeCell ref="E6:F6"/>
    <mergeCell ref="G6:H6"/>
  </mergeCells>
  <pageMargins left="0.7" right="0.7" top="0.75" bottom="0.75" header="0.3" footer="0.3"/>
  <pageSetup scale="78" fitToWidth="0" fitToHeight="2" orientation="portrait" horizontalDpi="0" verticalDpi="0"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5D83D-3FAF-4D0A-9A4C-E5F8505818D7}">
  <sheetPr>
    <pageSetUpPr fitToPage="1"/>
  </sheetPr>
  <dimension ref="A1:M11"/>
  <sheetViews>
    <sheetView showGridLines="0" showRowColHeaders="0" topLeftCell="C1" zoomScaleNormal="100" workbookViewId="0">
      <pane ySplit="7" topLeftCell="A8" activePane="bottomLeft" state="frozen"/>
      <selection activeCell="C1" sqref="C1"/>
      <selection pane="bottomLeft" activeCell="I2" sqref="I2:L2"/>
    </sheetView>
  </sheetViews>
  <sheetFormatPr defaultColWidth="0" defaultRowHeight="15" customHeight="1" zeroHeight="1" x14ac:dyDescent="0.25"/>
  <cols>
    <col min="1" max="1" width="22.28515625" hidden="1" customWidth="1"/>
    <col min="2" max="2" width="31.42578125" hidden="1" customWidth="1"/>
    <col min="3" max="3" width="1.42578125" customWidth="1"/>
    <col min="4" max="4" width="31.28515625" customWidth="1"/>
    <col min="5" max="12" width="12.7109375" customWidth="1"/>
    <col min="13" max="13" width="1.42578125" customWidth="1"/>
    <col min="14" max="16384" width="9.140625" hidden="1"/>
  </cols>
  <sheetData>
    <row r="1" spans="1:13" ht="11.1" customHeight="1" x14ac:dyDescent="0.25"/>
    <row r="2" spans="1:13" ht="24.95" customHeight="1" x14ac:dyDescent="0.25">
      <c r="A2" s="46" t="s">
        <v>182</v>
      </c>
      <c r="B2" s="46" t="s">
        <v>181</v>
      </c>
      <c r="I2" s="400" t="str">
        <f>HYPERLINK("#"&amp;$B$4,$B$5)</f>
        <v>Return to New Household Reservation Request</v>
      </c>
      <c r="J2" s="400"/>
      <c r="K2" s="400"/>
      <c r="L2" s="400"/>
    </row>
    <row r="3" spans="1:13" ht="11.1" customHeight="1" x14ac:dyDescent="0.25"/>
    <row r="4" spans="1:13" ht="21.75" customHeight="1" x14ac:dyDescent="0.25">
      <c r="A4" t="s">
        <v>2902</v>
      </c>
      <c r="B4" t="str">
        <f>"TARGET_" &amp;WELCOME_SELECTION_EFORM_TYPE&amp;"_ICW_BOOKMARK"</f>
        <v>TARGET_RES_ICW_BOOKMARK</v>
      </c>
      <c r="C4" s="223"/>
      <c r="D4" s="225" t="str">
        <f>"HUD Income Limit Guidelines: US Virgin Islands ("&amp;Configuration!V36&amp;")"</f>
        <v>HUD Income Limit Guidelines: US Virgin Islands (2022)</v>
      </c>
      <c r="E4" s="225"/>
      <c r="F4" s="223"/>
      <c r="G4" s="223"/>
      <c r="H4" s="265"/>
      <c r="I4" s="265"/>
      <c r="J4" s="265"/>
      <c r="K4" s="265"/>
      <c r="L4" s="265"/>
      <c r="M4" s="223"/>
    </row>
    <row r="5" spans="1:13" ht="9" customHeight="1" x14ac:dyDescent="0.25">
      <c r="A5" s="39" t="s">
        <v>2903</v>
      </c>
      <c r="B5" s="39" t="str">
        <f>"Return to "&amp;WELCOME_SELECTION_EFORM_DESC</f>
        <v>Return to New Household Reservation Request</v>
      </c>
      <c r="C5" s="220"/>
      <c r="D5" s="266"/>
      <c r="E5" s="222"/>
      <c r="F5" s="221"/>
      <c r="G5" s="221"/>
      <c r="H5" s="221"/>
      <c r="I5" s="221"/>
      <c r="J5" s="221"/>
      <c r="K5" s="221"/>
      <c r="L5" s="221"/>
      <c r="M5" s="221"/>
    </row>
    <row r="6" spans="1:13" ht="21" customHeight="1" x14ac:dyDescent="0.25">
      <c r="A6" s="39"/>
      <c r="B6" s="39"/>
      <c r="C6" s="220"/>
      <c r="D6" s="238"/>
      <c r="E6" s="402" t="s">
        <v>2838</v>
      </c>
      <c r="F6" s="402"/>
      <c r="G6" s="402"/>
      <c r="H6" s="402"/>
      <c r="I6" s="402"/>
      <c r="J6" s="402"/>
      <c r="K6" s="402"/>
      <c r="L6" s="402"/>
      <c r="M6" s="221"/>
    </row>
    <row r="7" spans="1:13" ht="20.100000000000001" customHeight="1" x14ac:dyDescent="0.25">
      <c r="D7" s="263" t="s">
        <v>1994</v>
      </c>
      <c r="E7" s="180">
        <v>1</v>
      </c>
      <c r="F7" s="180">
        <v>2</v>
      </c>
      <c r="G7" s="180">
        <v>3</v>
      </c>
      <c r="H7" s="180">
        <v>4</v>
      </c>
      <c r="I7" s="180">
        <v>5</v>
      </c>
      <c r="J7" s="180">
        <v>6</v>
      </c>
      <c r="K7" s="180">
        <v>7</v>
      </c>
      <c r="L7" s="180">
        <v>8</v>
      </c>
      <c r="M7" s="221"/>
    </row>
    <row r="8" spans="1:13" s="39" customFormat="1" ht="20.100000000000001" customHeight="1" x14ac:dyDescent="0.25">
      <c r="A8" s="39" t="s">
        <v>2961</v>
      </c>
      <c r="B8" s="39" t="str">
        <f>"VI_"&amp;UPPER(TRIM(D8))</f>
        <v>VI_ST CROIX</v>
      </c>
      <c r="D8" s="264" t="s">
        <v>2149</v>
      </c>
      <c r="E8" s="267">
        <f t="shared" ref="E8:L10" si="0">VLOOKUP($B8,LOOKUP_AMI_TABLE,8+((E$7-1)*2),FALSE)</f>
        <v>37200</v>
      </c>
      <c r="F8" s="267">
        <f t="shared" si="0"/>
        <v>42500</v>
      </c>
      <c r="G8" s="267">
        <f t="shared" si="0"/>
        <v>47800</v>
      </c>
      <c r="H8" s="267">
        <f t="shared" si="0"/>
        <v>53100</v>
      </c>
      <c r="I8" s="267">
        <f t="shared" si="0"/>
        <v>57350</v>
      </c>
      <c r="J8" s="267">
        <f t="shared" si="0"/>
        <v>61600</v>
      </c>
      <c r="K8" s="267">
        <f t="shared" si="0"/>
        <v>65850</v>
      </c>
      <c r="L8" s="267">
        <f t="shared" si="0"/>
        <v>70100</v>
      </c>
    </row>
    <row r="9" spans="1:13" s="39" customFormat="1" ht="20.100000000000001" customHeight="1" x14ac:dyDescent="0.25">
      <c r="A9" s="39" t="s">
        <v>2961</v>
      </c>
      <c r="B9" s="39" t="str">
        <f t="shared" ref="B9:B10" si="1">"VI_"&amp;UPPER(TRIM(D9))</f>
        <v>VI_ST JOHN</v>
      </c>
      <c r="D9" s="264" t="s">
        <v>2150</v>
      </c>
      <c r="E9" s="267">
        <f t="shared" si="0"/>
        <v>55550</v>
      </c>
      <c r="F9" s="267">
        <f t="shared" si="0"/>
        <v>63450</v>
      </c>
      <c r="G9" s="267">
        <f t="shared" si="0"/>
        <v>71400</v>
      </c>
      <c r="H9" s="267">
        <f t="shared" si="0"/>
        <v>79300</v>
      </c>
      <c r="I9" s="267">
        <f t="shared" si="0"/>
        <v>85650</v>
      </c>
      <c r="J9" s="267">
        <f t="shared" si="0"/>
        <v>92000</v>
      </c>
      <c r="K9" s="267">
        <f t="shared" si="0"/>
        <v>98350</v>
      </c>
      <c r="L9" s="267">
        <f t="shared" si="0"/>
        <v>104700</v>
      </c>
    </row>
    <row r="10" spans="1:13" s="39" customFormat="1" ht="20.100000000000001" customHeight="1" x14ac:dyDescent="0.25">
      <c r="A10" s="39" t="s">
        <v>2961</v>
      </c>
      <c r="B10" s="39" t="str">
        <f t="shared" si="1"/>
        <v>VI_ST THOMAS</v>
      </c>
      <c r="D10" s="264" t="s">
        <v>2151</v>
      </c>
      <c r="E10" s="267">
        <f t="shared" si="0"/>
        <v>40900</v>
      </c>
      <c r="F10" s="267">
        <f t="shared" si="0"/>
        <v>46750</v>
      </c>
      <c r="G10" s="267">
        <f t="shared" si="0"/>
        <v>52600</v>
      </c>
      <c r="H10" s="267">
        <f t="shared" si="0"/>
        <v>58400</v>
      </c>
      <c r="I10" s="267">
        <f t="shared" si="0"/>
        <v>63100</v>
      </c>
      <c r="J10" s="267">
        <f t="shared" si="0"/>
        <v>67750</v>
      </c>
      <c r="K10" s="267">
        <f t="shared" si="0"/>
        <v>72450</v>
      </c>
      <c r="L10" s="267">
        <f t="shared" si="0"/>
        <v>77100</v>
      </c>
    </row>
    <row r="11" spans="1:13" ht="15" customHeight="1" x14ac:dyDescent="0.25"/>
  </sheetData>
  <sheetProtection algorithmName="SHA-512" hashValue="8DVjHyOO8BB2dK6JyUdk02tzxG7riECm2KYrRSdnfNZhHg/bIYwXu5132cLxZXR5jO9rqfkzXqA+U94W2CKnKg==" saltValue="R2kdLOr1xnKTUcIheA9b5A==" spinCount="100000" sheet="1" objects="1" scenarios="1"/>
  <mergeCells count="2">
    <mergeCell ref="E6:L6"/>
    <mergeCell ref="I2:L2"/>
  </mergeCells>
  <pageMargins left="0.7" right="0.7" top="0.75" bottom="0.75" header="0.3" footer="0.3"/>
  <pageSetup scale="66" fitToHeight="0" orientation="portrait" horizontalDpi="0" verticalDpi="0"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220</vt:i4>
      </vt:variant>
    </vt:vector>
  </HeadingPairs>
  <TitlesOfParts>
    <vt:vector size="238" baseType="lpstr">
      <vt:lpstr>WELCOME</vt:lpstr>
      <vt:lpstr>RES</vt:lpstr>
      <vt:lpstr>DSB</vt:lpstr>
      <vt:lpstr>ADL</vt:lpstr>
      <vt:lpstr>ICW</vt:lpstr>
      <vt:lpstr>MFI_NJ</vt:lpstr>
      <vt:lpstr>MFI_NY</vt:lpstr>
      <vt:lpstr>MFI_PR</vt:lpstr>
      <vt:lpstr>MFI_VI</vt:lpstr>
      <vt:lpstr>Configuration</vt:lpstr>
      <vt:lpstr>$DB.DATA</vt:lpstr>
      <vt:lpstr>$DB.LOOKUP</vt:lpstr>
      <vt:lpstr>$DB.LOOKUP.ICW</vt:lpstr>
      <vt:lpstr>$DB.CONFIG</vt:lpstr>
      <vt:lpstr>$DB.EXPORT.XREF</vt:lpstr>
      <vt:lpstr>$DB.EXPORT.RES</vt:lpstr>
      <vt:lpstr>$DB.EXPORT.DSB</vt:lpstr>
      <vt:lpstr>$DB.EXPORT.ADL</vt:lpstr>
      <vt:lpstr>CONFIG_CHAR_LIMIT_TEMPLATE</vt:lpstr>
      <vt:lpstr>CONFIG_CHAR_LIMIT_TEMPLATE_ERR</vt:lpstr>
      <vt:lpstr>CONFIG_COUNSEL_AMT_MAX</vt:lpstr>
      <vt:lpstr>CONFIG_COUNSEL_DATE_AGE_MAX</vt:lpstr>
      <vt:lpstr>CONFIG_DOC_ID</vt:lpstr>
      <vt:lpstr>CONFIG_DOC_TITLE</vt:lpstr>
      <vt:lpstr>CONFIG_DTI_THRESH_AFFORDABILITY</vt:lpstr>
      <vt:lpstr>CONFIG_EFORM_DOC_ID_NAME</vt:lpstr>
      <vt:lpstr>CONFIG_EFORM_VERSION_NO_MAJ</vt:lpstr>
      <vt:lpstr>CONFIG_EFORM_VERSION_NO_REV</vt:lpstr>
      <vt:lpstr>CONFIG_EFORMN_VERSION_NO</vt:lpstr>
      <vt:lpstr>CONFIG_ENROLL_PERD_DESC</vt:lpstr>
      <vt:lpstr>CONFIG_ENROLL_PERD_ID</vt:lpstr>
      <vt:lpstr>CONFIG_FHC_PROG_ID</vt:lpstr>
      <vt:lpstr>CONFIG_GRANT_AMT_MAX</vt:lpstr>
      <vt:lpstr>CONFIG_HOUSEHOLD_ID_CURR</vt:lpstr>
      <vt:lpstr>CONFIG_ICW_ZEROINCOME_DOC_ID</vt:lpstr>
      <vt:lpstr>CONFIG_MAX_DTI_BE_RATIO</vt:lpstr>
      <vt:lpstr>CONFIG_MAX_DTI_FE_RATIO</vt:lpstr>
      <vt:lpstr>CONFIG_MAX_LTV_RATIO</vt:lpstr>
      <vt:lpstr>CONFIG_MFI_PERCENTAGE</vt:lpstr>
      <vt:lpstr>CONFIG_MIN_HOUSEHOLD_CONTRIB_AMT</vt:lpstr>
      <vt:lpstr>CONFIG_MIN_HOUSEHOLD_ID_CURR</vt:lpstr>
      <vt:lpstr>CONFIG_MIN_HOUSEHOLD_ID_LEGACY</vt:lpstr>
      <vt:lpstr>CONFIG_SA_PROGRAM_NAME</vt:lpstr>
      <vt:lpstr>CONFIG_TRADEMARK_ID</vt:lpstr>
      <vt:lpstr>COUNSELING_AGENCY_NAME_OTHER</vt:lpstr>
      <vt:lpstr>COUNTY_LIST_ALLUSA</vt:lpstr>
      <vt:lpstr>COUNTY_RANGE_</vt:lpstr>
      <vt:lpstr>COUNTY_RANGE_AK</vt:lpstr>
      <vt:lpstr>COUNTY_RANGE_AL</vt:lpstr>
      <vt:lpstr>COUNTY_RANGE_AR</vt:lpstr>
      <vt:lpstr>COUNTY_RANGE_AZ</vt:lpstr>
      <vt:lpstr>COUNTY_RANGE_CA</vt:lpstr>
      <vt:lpstr>COUNTY_RANGE_CO</vt:lpstr>
      <vt:lpstr>COUNTY_RANGE_CT</vt:lpstr>
      <vt:lpstr>COUNTY_RANGE_DC</vt:lpstr>
      <vt:lpstr>COUNTY_RANGE_DE</vt:lpstr>
      <vt:lpstr>COUNTY_RANGE_FL</vt:lpstr>
      <vt:lpstr>COUNTY_RANGE_GA</vt:lpstr>
      <vt:lpstr>COUNTY_RANGE_HI</vt:lpstr>
      <vt:lpstr>COUNTY_RANGE_IA</vt:lpstr>
      <vt:lpstr>COUNTY_RANGE_ID</vt:lpstr>
      <vt:lpstr>COUNTY_RANGE_IL</vt:lpstr>
      <vt:lpstr>COUNTY_RANGE_IN</vt:lpstr>
      <vt:lpstr>COUNTY_RANGE_KS</vt:lpstr>
      <vt:lpstr>COUNTY_RANGE_KY</vt:lpstr>
      <vt:lpstr>COUNTY_RANGE_LA</vt:lpstr>
      <vt:lpstr>COUNTY_RANGE_MA</vt:lpstr>
      <vt:lpstr>COUNTY_RANGE_MD</vt:lpstr>
      <vt:lpstr>COUNTY_RANGE_ME</vt:lpstr>
      <vt:lpstr>COUNTY_RANGE_MI</vt:lpstr>
      <vt:lpstr>COUNTY_RANGE_MN</vt:lpstr>
      <vt:lpstr>COUNTY_RANGE_MO</vt:lpstr>
      <vt:lpstr>COUNTY_RANGE_MS</vt:lpstr>
      <vt:lpstr>COUNTY_RANGE_MT</vt:lpstr>
      <vt:lpstr>COUNTY_RANGE_NC</vt:lpstr>
      <vt:lpstr>COUNTY_RANGE_ND</vt:lpstr>
      <vt:lpstr>COUNTY_RANGE_NE</vt:lpstr>
      <vt:lpstr>COUNTY_RANGE_NH</vt:lpstr>
      <vt:lpstr>COUNTY_RANGE_NJ</vt:lpstr>
      <vt:lpstr>COUNTY_RANGE_NM</vt:lpstr>
      <vt:lpstr>COUNTY_RANGE_NV</vt:lpstr>
      <vt:lpstr>COUNTY_RANGE_NY</vt:lpstr>
      <vt:lpstr>COUNTY_RANGE_OH</vt:lpstr>
      <vt:lpstr>COUNTY_RANGE_OK</vt:lpstr>
      <vt:lpstr>COUNTY_RANGE_OR</vt:lpstr>
      <vt:lpstr>COUNTY_RANGE_PA</vt:lpstr>
      <vt:lpstr>COUNTY_RANGE_PR</vt:lpstr>
      <vt:lpstr>COUNTY_RANGE_RI</vt:lpstr>
      <vt:lpstr>COUNTY_RANGE_SC</vt:lpstr>
      <vt:lpstr>COUNTY_RANGE_SD</vt:lpstr>
      <vt:lpstr>COUNTY_RANGE_TN</vt:lpstr>
      <vt:lpstr>COUNTY_RANGE_TX</vt:lpstr>
      <vt:lpstr>COUNTY_RANGE_UT</vt:lpstr>
      <vt:lpstr>COUNTY_RANGE_VA</vt:lpstr>
      <vt:lpstr>COUNTY_RANGE_VI</vt:lpstr>
      <vt:lpstr>COUNTY_RANGE_VT</vt:lpstr>
      <vt:lpstr>COUNTY_RANGE_WA</vt:lpstr>
      <vt:lpstr>COUNTY_RANGE_WI</vt:lpstr>
      <vt:lpstr>COUNTY_RANGE_WV</vt:lpstr>
      <vt:lpstr>COUNTY_RANGE_WY</vt:lpstr>
      <vt:lpstr>DATA_ADL_DESCRIPTION</vt:lpstr>
      <vt:lpstr>DATA_ADL_ICW_COMPLETION_DATE</vt:lpstr>
      <vt:lpstr>DATA_ADL_ICW_FLAG</vt:lpstr>
      <vt:lpstr>DATA_APP_PROGRESS_ERROR_COUNT</vt:lpstr>
      <vt:lpstr>DATA_APP_PROGRESS_PCT_COMPLETE</vt:lpstr>
      <vt:lpstr>DATA_CNSLNG_COMPLETE_DATE</vt:lpstr>
      <vt:lpstr>DATA_CO_BORW_STARTED_FLAG</vt:lpstr>
      <vt:lpstr>DATA_DISBURSEMENT_DATE</vt:lpstr>
      <vt:lpstr>DATA_EFORM_COMPLETE_FLAG</vt:lpstr>
      <vt:lpstr>DATA_EFORM_TYPE_CODE</vt:lpstr>
      <vt:lpstr>DATA_EXPLANATION_OF_AFFORDABILITY_REQ_FLAG</vt:lpstr>
      <vt:lpstr>DATA_FAMILY_SIZE_NO</vt:lpstr>
      <vt:lpstr>DATA_FHA_LETTER_REQ_FLAG</vt:lpstr>
      <vt:lpstr>DATA_FHC_ENROLLED_FLAG</vt:lpstr>
      <vt:lpstr>DATA_FIRST_MTG_LOAN_AMT</vt:lpstr>
      <vt:lpstr>DATA_FIRST_MTG_LOAN_TYPE</vt:lpstr>
      <vt:lpstr>DATA_FIRST_TIME_HOMEBUYER_FLAG</vt:lpstr>
      <vt:lpstr>DATA_HOUSING_EXP_INC_RATIO</vt:lpstr>
      <vt:lpstr>DATA_HSEHLD_ADDR</vt:lpstr>
      <vt:lpstr>DATA_HSEHLD_BANNER</vt:lpstr>
      <vt:lpstr>DATA_HSEHLD_CONTRIBUTION_AMT</vt:lpstr>
      <vt:lpstr>DATA_HSEHLD_INC_AMT</vt:lpstr>
      <vt:lpstr>DATA_HSEHLD_INC_PCT_MFI</vt:lpstr>
      <vt:lpstr>DATA_HSEHLD_NO</vt:lpstr>
      <vt:lpstr>DATA_ICW_COMPLETE_FLAG</vt:lpstr>
      <vt:lpstr>DATA_INC_AREA_NAME</vt:lpstr>
      <vt:lpstr>DATA_INC_GUIDLN_CODE</vt:lpstr>
      <vt:lpstr>DATA_LTV</vt:lpstr>
      <vt:lpstr>DATA_MAX_ALLOWABLE_INCOME</vt:lpstr>
      <vt:lpstr>DATA_MEMBER_CERTIFICATION_DATE</vt:lpstr>
      <vt:lpstr>DATA_MEMBER_NAME</vt:lpstr>
      <vt:lpstr>DATA_NONPROF_AGCY_NAME_OTHER</vt:lpstr>
      <vt:lpstr>DATA_NONPROF_AGCY_NAME_OTHER_REQUIRED</vt:lpstr>
      <vt:lpstr>DATA_NONPROF_AGCY_NAME_SELECT</vt:lpstr>
      <vt:lpstr>DATA_OTHER_FHLB_GRANT_FLAG</vt:lpstr>
      <vt:lpstr>DATA_OTHER_NON_FHLB_GRANT_FLAG</vt:lpstr>
      <vt:lpstr>DATA_PRIM_BORW_FULL_NAME</vt:lpstr>
      <vt:lpstr>DATA_PRIMARY_RESIDENCE_FLAG</vt:lpstr>
      <vt:lpstr>DATA_PROPTY_ADDR</vt:lpstr>
      <vt:lpstr>DATA_PROPTY_ADDRESS_UNIFIED</vt:lpstr>
      <vt:lpstr>DATA_PROPTY_BLDG_TYPE_UI</vt:lpstr>
      <vt:lpstr>DATA_PROPTY_CNTY_NAME</vt:lpstr>
      <vt:lpstr>DATA_PROPTY_STATE_CODE</vt:lpstr>
      <vt:lpstr>DATA_PROPTY_ZIP_CODE</vt:lpstr>
      <vt:lpstr>DATA_RESERVATION_DATE</vt:lpstr>
      <vt:lpstr>DATA_SECOND_MTG_FLAG</vt:lpstr>
      <vt:lpstr>DATA_THRD_BORW_STARTED_FLAG</vt:lpstr>
      <vt:lpstr>DATA_TOTAL_DEBT_INC_RATIO</vt:lpstr>
      <vt:lpstr>EFORM_TYPE_CODE_ADDLDOC</vt:lpstr>
      <vt:lpstr>EFORM_TYPE_CODE_DISBURSEMENT</vt:lpstr>
      <vt:lpstr>EFORM_TYPE_CODE_RESERVATION</vt:lpstr>
      <vt:lpstr>HOUSEHOLD_NUM_ADULTS</vt:lpstr>
      <vt:lpstr>HOUSEHOLD_NUM_CHILDREN</vt:lpstr>
      <vt:lpstr>ICW_HOUSEHOLD_SIZE</vt:lpstr>
      <vt:lpstr>ICW_TOTAL_INCOME</vt:lpstr>
      <vt:lpstr>INCOME_SUBTOTAL_A1</vt:lpstr>
      <vt:lpstr>INCOME_SUBTOTAL_A2</vt:lpstr>
      <vt:lpstr>INCOME_SUBTOTAL_A3</vt:lpstr>
      <vt:lpstr>INCOME_SUBTOTAL_B</vt:lpstr>
      <vt:lpstr>INCOME_SUBTOTAL_C</vt:lpstr>
      <vt:lpstr>INCOME_SUBTOTAL_D</vt:lpstr>
      <vt:lpstr>INCOME_SUBTOTAL_E</vt:lpstr>
      <vt:lpstr>INCOME_SUBTOTAL_F</vt:lpstr>
      <vt:lpstr>LOOKUP_AMI_TABLE</vt:lpstr>
      <vt:lpstr>MTG_TYPE_FIXED</vt:lpstr>
      <vt:lpstr>MTG_TYPE_VARIABLE</vt:lpstr>
      <vt:lpstr>ADL!Print_Area</vt:lpstr>
      <vt:lpstr>Configuration!Print_Area</vt:lpstr>
      <vt:lpstr>DSB!Print_Area</vt:lpstr>
      <vt:lpstr>ICW!Print_Area</vt:lpstr>
      <vt:lpstr>MFI_NJ!Print_Area</vt:lpstr>
      <vt:lpstr>MFI_NY!Print_Area</vt:lpstr>
      <vt:lpstr>MFI_PR!Print_Area</vt:lpstr>
      <vt:lpstr>MFI_VI!Print_Area</vt:lpstr>
      <vt:lpstr>RES!Print_Area</vt:lpstr>
      <vt:lpstr>WELCOME!Print_Area</vt:lpstr>
      <vt:lpstr>Configuration!Print_Titles</vt:lpstr>
      <vt:lpstr>ICW!Print_Titles</vt:lpstr>
      <vt:lpstr>MFI_NY!Print_Titles</vt:lpstr>
      <vt:lpstr>MFI_PR!Print_Titles</vt:lpstr>
      <vt:lpstr>MFI_VI!Print_Titles</vt:lpstr>
      <vt:lpstr>RANGE_LOOKUP_CHILDSUPPORT_PYMT_FREQ</vt:lpstr>
      <vt:lpstr>RANGE_LOOKUP_COUNSELING_AGENCIES</vt:lpstr>
      <vt:lpstr>RANGE_LOOKUP_COUNTY_PLACEHOLDER</vt:lpstr>
      <vt:lpstr>RANGE_LOOKUP_DEPENDENTS</vt:lpstr>
      <vt:lpstr>'$DB.EXPORT.DSB'!RANGE_LOOKUP_EFORM_TYPE</vt:lpstr>
      <vt:lpstr>'$DB.EXPORT.XREF'!RANGE_LOOKUP_EFORM_TYPE</vt:lpstr>
      <vt:lpstr>ADL!RANGE_LOOKUP_EFORM_TYPE</vt:lpstr>
      <vt:lpstr>DSB!RANGE_LOOKUP_EFORM_TYPE</vt:lpstr>
      <vt:lpstr>RANGE_LOOKUP_EFORM_TYPE</vt:lpstr>
      <vt:lpstr>RANGE_LOOKUP_INC_GUIDLN_CODE</vt:lpstr>
      <vt:lpstr>RANGE_LOOKUP_MARITALSTATUS</vt:lpstr>
      <vt:lpstr>RANGE_LOOKUP_MTG_TYPE</vt:lpstr>
      <vt:lpstr>RANGE_LOOKUP_PAYSTUBS_PER_YEAR</vt:lpstr>
      <vt:lpstr>RANGE_LOOKUP_PREFIX</vt:lpstr>
      <vt:lpstr>RANGE_LOOKUP_PROPTY_BLDG_TYPE_CICODE</vt:lpstr>
      <vt:lpstr>RANGE_LOOKUP_PROPTY_BLDG_TYPE_UI</vt:lpstr>
      <vt:lpstr>RANGE_LOOKUP_SECTD_INCOMESOURCE</vt:lpstr>
      <vt:lpstr>RANGE_LOOKUP_SECTE_INCOMESOURCE</vt:lpstr>
      <vt:lpstr>RANGE_LOOKUP_STATE</vt:lpstr>
      <vt:lpstr>RANGE_LOOKUP_STATE_ALLSTATES</vt:lpstr>
      <vt:lpstr>RANGE_LOOKUP_YESNO</vt:lpstr>
      <vt:lpstr>RANGE_LOOKUP_YESNONA</vt:lpstr>
      <vt:lpstr>SA_PROGRAM_NAME</vt:lpstr>
      <vt:lpstr>STATE_CODE_NJ</vt:lpstr>
      <vt:lpstr>STATE_CODE_NY</vt:lpstr>
      <vt:lpstr>STATE_CODE_PR</vt:lpstr>
      <vt:lpstr>STATE_CODE_VI</vt:lpstr>
      <vt:lpstr>TARGET_ADL_1</vt:lpstr>
      <vt:lpstr>TARGET_ADL_2</vt:lpstr>
      <vt:lpstr>TARGET_ADL_3</vt:lpstr>
      <vt:lpstr>TARGET_ADL_ICW_BOOKMARK</vt:lpstr>
      <vt:lpstr>TARGET_ADL_TOP</vt:lpstr>
      <vt:lpstr>TARGET_CONFIG_TOP</vt:lpstr>
      <vt:lpstr>TARGET_DISB_5</vt:lpstr>
      <vt:lpstr>TARGET_DISB_6</vt:lpstr>
      <vt:lpstr>TARGET_DSB_1</vt:lpstr>
      <vt:lpstr>TARGET_DSB_2</vt:lpstr>
      <vt:lpstr>TARGET_DSB_3</vt:lpstr>
      <vt:lpstr>TARGET_DSB_4</vt:lpstr>
      <vt:lpstr>TARGET_DSB_TOP</vt:lpstr>
      <vt:lpstr>TARGET_RES_1</vt:lpstr>
      <vt:lpstr>TARGET_RES_2</vt:lpstr>
      <vt:lpstr>TARGET_RES_3</vt:lpstr>
      <vt:lpstr>TARGET_RES_4</vt:lpstr>
      <vt:lpstr>TARGET_RES_5</vt:lpstr>
      <vt:lpstr>TARGET_RES_6</vt:lpstr>
      <vt:lpstr>TARGET_RES_ICW_BOOKMARK</vt:lpstr>
      <vt:lpstr>TARGET_RESERVATION_TOP</vt:lpstr>
      <vt:lpstr>TARGET_TOP_ICW</vt:lpstr>
      <vt:lpstr>TARGET_TOP_MFI_NJ</vt:lpstr>
      <vt:lpstr>TARGET_TOP_MFI_NY</vt:lpstr>
      <vt:lpstr>TARGET_TOP_MFI_PR</vt:lpstr>
      <vt:lpstr>TARGET_TOP_MFI_VI</vt:lpstr>
      <vt:lpstr>TARGET_WELCOME_TOP</vt:lpstr>
      <vt:lpstr>THRD_BORW_STARTED_FLAG</vt:lpstr>
      <vt:lpstr>WELCOME_SELECTION_EFORM_DESC</vt:lpstr>
      <vt:lpstr>WELCOME_SELECTION_EFORM_TYPE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Jeff LeSauvage</cp:lastModifiedBy>
  <cp:lastPrinted>2023-01-27T00:18:08Z</cp:lastPrinted>
  <dcterms:created xsi:type="dcterms:W3CDTF">2006-09-16T00:00:00Z</dcterms:created>
  <dcterms:modified xsi:type="dcterms:W3CDTF">2023-01-27T01:11:07Z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{3B718BCC-3F44-49A1-AB66-B0EAD00B6F24}</vt:lpwstr>
  </property>
</Properties>
</file>