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527"/>
  <workbookPr/>
  <mc:AlternateContent xmlns:mc="http://schemas.openxmlformats.org/markup-compatibility/2006">
    <mc:Choice Requires="x15">
      <x15ac:absPath xmlns:x15ac="http://schemas.microsoft.com/office/spreadsheetml/2010/11/ac" url="T:\Clients\FHLBNY\Code\CI\Unified Recapture Form\Deliverables\3.1.0\"/>
    </mc:Choice>
  </mc:AlternateContent>
  <xr:revisionPtr revIDLastSave="0" documentId="13_ncr:1_{0498F619-A720-4A79-A57E-6466FC7224F3}" xr6:coauthVersionLast="47" xr6:coauthVersionMax="47" xr10:uidLastSave="{00000000-0000-0000-0000-000000000000}"/>
  <workbookProtection workbookAlgorithmName="SHA-512" workbookHashValue="XUMSMt1LNyLf1j5zeDXtsiufBldbm9HRHZh5Nqj4WLSYWSVT7y9NR8NGWj8BndCdglXuOF2aPBtDzdSVxMIZFA==" workbookSaltValue="F5/e9BsflHBygl2zcOnsqg==" workbookSpinCount="100000" lockStructure="1"/>
  <bookViews>
    <workbookView xWindow="-120" yWindow="-120" windowWidth="29040" windowHeight="17790" xr2:uid="{00000000-000D-0000-FFFF-FFFF00000000}"/>
  </bookViews>
  <sheets>
    <sheet name="Instructions" sheetId="4" r:id="rId1"/>
    <sheet name="Qualifying Event" sheetId="6" r:id="rId2"/>
    <sheet name="Proxy" sheetId="7" r:id="rId3"/>
    <sheet name="Repayment" sheetId="8" r:id="rId4"/>
    <sheet name="$DB.CONFIG" sheetId="1" state="hidden" r:id="rId5"/>
    <sheet name="$DB.LOOKUP" sheetId="2" state="hidden" r:id="rId6"/>
    <sheet name="$DB.DATA" sheetId="3" state="hidden" r:id="rId7"/>
  </sheets>
  <definedNames>
    <definedName name="ATTR_EVENT_TYPE_SELECTED_DESC">'$DB.DATA'!$C$4</definedName>
    <definedName name="ATTR_EVENT_TYPE_SHORT_TEXT">'$DB.DATA'!$C$5</definedName>
    <definedName name="ATTR_LABEL_NETPROCEEDS_A">'$DB.DATA'!$C$10</definedName>
    <definedName name="ATTR_LABEL_NETPROCEEDS_B">'$DB.DATA'!$C$11</definedName>
    <definedName name="ATTR_LABEL_NETPROCEEDS_C">'$DB.DATA'!$C$12</definedName>
    <definedName name="ATTR_LABEL_NETPROCEEDS_D">'$DB.DATA'!$C$13</definedName>
    <definedName name="ATTR_LABEL_PROJTYPE_ADDRESS">'$DB.DATA'!$C$9</definedName>
    <definedName name="ATTR_LABEL_PROJTYPE_NAME">'$DB.DATA'!$C$7</definedName>
    <definedName name="ATTR_LABEL_PROJTYPE_NUMBER">'$DB.DATA'!$C$8</definedName>
    <definedName name="ATTR_LABEL_PROXYTEST_HEADER">'$DB.DATA'!$C$28</definedName>
    <definedName name="ATTR_LABEL_PROXYTEST_HEADER_WARNING_FLG">'$DB.DATA'!$C$29</definedName>
    <definedName name="ATTR_LABEL_REPAYMENT_HEADER">'$DB.DATA'!$C$30</definedName>
    <definedName name="ATTR_LABEL_REPAYMENT_HEADER_WARNING_FLG">'$DB.DATA'!$C$31</definedName>
    <definedName name="ATTR_PROGRAM_TYPE_SELECTED_DESC">'$DB.DATA'!$C$6</definedName>
    <definedName name="ATTR_PROXY_INPUT_CALC_RESULTS">'$DB.DATA'!$C$18</definedName>
    <definedName name="ATTR_PROXY_INPUT_COMPLETE_FLG">'$DB.DATA'!$C$19</definedName>
    <definedName name="ATTR_PROXY_INPUT_NEXT_STEP">'$DB.DATA'!$C$20</definedName>
    <definedName name="ATTR_PROXY_INPUT_NEXT_STEP_TARGET">'$DB.DATA'!$C$21</definedName>
    <definedName name="ATTR_PROXY_INPUT_REQUIRED_FLG">'$DB.DATA'!$C$17</definedName>
    <definedName name="ATTR_QUALEVENT_INPUT_COMPLETE_FLG">'$DB.DATA'!$C$14</definedName>
    <definedName name="ATTR_QUALEVENT_NEXT_STEP">'$DB.DATA'!$C$15</definedName>
    <definedName name="ATTR_QUALEVENT_NEXT_STEP_TARGET">'$DB.DATA'!$C$16</definedName>
    <definedName name="ATTR_REPAYMENT_INPUT_AMOUNT_TO_REPAY">'$DB.DATA'!$C$27</definedName>
    <definedName name="ATTR_REPAYMENT_INPUT_CALC_RESULTS_PRORATA">'$DB.DATA'!$C$24</definedName>
    <definedName name="ATTR_REPAYMENT_INPUT_COMPLETE_FLG">'$DB.DATA'!$C$23</definedName>
    <definedName name="ATTR_REPAYMENT_INPUT_REQUIRED_FLG">'$DB.DATA'!$C$22</definedName>
    <definedName name="CONFIG_EFORM_REVISION_DATE">'$DB.CONFIG'!$D$4</definedName>
    <definedName name="CONFIG_EFORM_REVISION_DISPLAY">'$DB.CONFIG'!$D$6</definedName>
    <definedName name="CONFIG_EFORM_TITLE">'$DB.CONFIG'!$D$5</definedName>
    <definedName name="CONFIG_EFORM_VERSION_NO">'$DB.CONFIG'!$D$7</definedName>
    <definedName name="DELETEME">TBL_LOOKUP_EVENTS[EVENT_TYPE_DESC]</definedName>
    <definedName name="DELETEME2">TBL_LOOKUP_PROGRAM_TYPE[PROGRAM_TYPE_DESC]</definedName>
    <definedName name="QUALEVENT_LINK_NEXT_STEP">'Qualifying Event'!$D$29</definedName>
    <definedName name="RANGE_LOOKUP_EVENT_TYPE_DESC">TBL_LOOKUP_EVENTS[EVENT_TYPE_DESC]</definedName>
    <definedName name="RANGE_LOOKUP_NUM_UNITS_DESC">TBL_LOOKUP_NUM_UNITS[NUM_UNITS_DESC]</definedName>
    <definedName name="RANGE_LOOKUP_PROGRAM_TYPE_DESC">TBL_LOOKUP_PROGRAM_TYPE[PROGRAM_TYPE_DESC]</definedName>
    <definedName name="REPAYMENT_INPUT_AMOUNT_TO_REPAY">'$DB.DATA'!$C$27</definedName>
    <definedName name="REPAYMENT_INPUT_CALC_RESULTS_LESSER">'$DB.DATA'!$C$26</definedName>
    <definedName name="REPAYMENT_INPUT_CALC_RESULTS_NETPROCEEDS">'$DB.DATA'!$C$25</definedName>
    <definedName name="TARGET_TOP" localSheetId="2">Proxy!$C$7</definedName>
    <definedName name="TARGET_TOP" localSheetId="1">'Qualifying Event'!$C$6:$D$6</definedName>
    <definedName name="TARGET_TOP" localSheetId="3">Repayment!$C$9</definedName>
    <definedName name="UI_AHP_SUBSIDY_AMOUNT_DISBURSED">'Qualifying Event'!$C$21</definedName>
    <definedName name="UI_EMAIL_ADDRESS">'Qualifying Event'!$C$13</definedName>
    <definedName name="UI_EVENT_TYPE">'Qualifying Event'!$C$26</definedName>
    <definedName name="UI_HSEHLDINVEST_CAPITAL_IMPROVEMENTS">Repayment!$C$39</definedName>
    <definedName name="UI_HSEHLDINVEST_CLOSING_COSTS">Repayment!$C$33</definedName>
    <definedName name="UI_HSEHLDINVEST_DOWNPAYMENT">Repayment!$C$38</definedName>
    <definedName name="UI_HSEHLDINVEST_ELIGIBLE_CLOSING_COSTS">Repayment!$C$37</definedName>
    <definedName name="UI_HSEHLDINVEST_ESCROWS">Repayment!$C$35</definedName>
    <definedName name="UI_HSEHLDINVEST_OTHERIECOSTS">Repayment!$C$36</definedName>
    <definedName name="UI_HSEHLDINVEST_PREPAIDS">Repayment!$C$34</definedName>
    <definedName name="UI_HSEHLDINVEST_TOTAL">Repayment!$C$41</definedName>
    <definedName name="UI_HSEHLDINVEST_TOTAL_PRIN_PAYMENTS">Repayment!$C$40</definedName>
    <definedName name="UI_HUD_DATA_DATE">Proxy!$C$10</definedName>
    <definedName name="UI_HUD_VALUE_LIMIT">Proxy!$C$11</definedName>
    <definedName name="UI_MEMBER_NAME">'Qualifying Event'!$C$11</definedName>
    <definedName name="UI_NETPROCEEDS_CLOSING_COSTS">Repayment!$C$24</definedName>
    <definedName name="UI_NETPROCEEDS_ELIGIBLE_CLOSING_COSTS">Repayment!$C$28</definedName>
    <definedName name="UI_NETPROCEEDS_ESCROWS">Repayment!$C$26</definedName>
    <definedName name="UI_NETPROCEEDS_MINUS_INVESTMENT_RESULT">Repayment!$C$44</definedName>
    <definedName name="UI_NETPROCEEDS_OTHERIECOSTS">Repayment!$C$27</definedName>
    <definedName name="UI_NETPROCEEDS_OUTSTANDING_DEBT">Repayment!$C$29</definedName>
    <definedName name="UI_NETPROCEEDS_PREPAIDS">Repayment!$C$25</definedName>
    <definedName name="UI_NETPROCEEDS_SALES_PRICE">Repayment!$C$23</definedName>
    <definedName name="UI_NETPROCEEDS_TOTAL">Repayment!$C$30</definedName>
    <definedName name="UI_NONCOMPLIANCE_DATE">'Qualifying Event'!$C$23</definedName>
    <definedName name="UI_NUMBER_UNITS">Proxy!$C$7</definedName>
    <definedName name="UI_ORIGINAL_BORROWER_NAME">Repayment!$C$9</definedName>
    <definedName name="UI_ORIGINAL_LOAN_CLOSING_DATE">'Qualifying Event'!$C$22</definedName>
    <definedName name="UI_PREPARED_BY">'Qualifying Event'!$C$12</definedName>
    <definedName name="UI_PROGRAM_TYPE">'Qualifying Event'!$C$6</definedName>
    <definedName name="UI_PROJECT_HOUSEHOLD_ID">'Qualifying Event'!$C$8</definedName>
    <definedName name="UI_PROJECT_HOUSEHOLD_NAME">'Qualifying Event'!$C$7</definedName>
    <definedName name="UI_PROPERTY_CITY_STATE_ZIP">'Qualifying Event'!$C$18</definedName>
    <definedName name="UI_PROPERTY_STREET_ADDRESS">'Qualifying Event'!$C$17</definedName>
    <definedName name="UI_PROXY_CALC_RESULT">Proxy!$C$12</definedName>
    <definedName name="UI_SALES_PRICE">Proxy!$C$8</definedName>
    <definedName name="UI_SUBSIDY_PRO_RATA_REDUCTION_CALC">Repayment!$C$17</definedName>
    <definedName name="UI_SUBSIDY_PRO_RATA_REMAINING_CALC">Repayment!$C$18</definedName>
    <definedName name="UI_TELEPHONE_NUMBER">'Qualifying Event'!$C$14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7" i="8" l="1"/>
  <c r="C41" i="8" s="1"/>
  <c r="C28" i="8"/>
  <c r="C30" i="8" s="1"/>
  <c r="C14" i="8"/>
  <c r="C11" i="8"/>
  <c r="C10" i="8"/>
  <c r="C44" i="8" l="1"/>
  <c r="C17" i="8"/>
  <c r="C18" i="8" s="1"/>
  <c r="C24" i="3" l="1"/>
  <c r="C25" i="3"/>
  <c r="C16" i="8"/>
  <c r="C15" i="8"/>
  <c r="D2" i="8" l="1"/>
  <c r="C9" i="7"/>
  <c r="C12" i="7"/>
  <c r="C18" i="3" s="1"/>
  <c r="D2" i="7"/>
  <c r="C14" i="3" l="1"/>
  <c r="C4" i="3"/>
  <c r="C5" i="3" s="1"/>
  <c r="C6" i="8" s="1"/>
  <c r="C6" i="3"/>
  <c r="E2" i="6"/>
  <c r="D2" i="4"/>
  <c r="E14" i="2" l="1"/>
  <c r="E12" i="2"/>
  <c r="C7" i="3"/>
  <c r="B7" i="6" s="1"/>
  <c r="C15" i="3"/>
  <c r="C9" i="3"/>
  <c r="C8" i="3"/>
  <c r="C12" i="3"/>
  <c r="B25" i="8" s="1"/>
  <c r="D6" i="1"/>
  <c r="C17" i="3" l="1"/>
  <c r="C28" i="3" s="1"/>
  <c r="C16" i="3" a="1"/>
  <c r="C16" i="3" s="1"/>
  <c r="D29" i="6" s="1"/>
  <c r="C27" i="6"/>
  <c r="B8" i="6"/>
  <c r="B16" i="6"/>
  <c r="C13" i="3"/>
  <c r="B26" i="8" s="1"/>
  <c r="C10" i="3"/>
  <c r="B23" i="8" s="1"/>
  <c r="C11" i="3"/>
  <c r="B29" i="8" s="1"/>
  <c r="C29" i="3" l="1"/>
  <c r="B5" i="7"/>
  <c r="C19" i="3"/>
  <c r="C21" i="3" s="1"/>
  <c r="A5" i="7" l="1"/>
  <c r="C22" i="3"/>
  <c r="C23" i="3" s="1"/>
  <c r="D15" i="7"/>
  <c r="C20" i="3"/>
  <c r="C30" i="3" l="1"/>
  <c r="C26" i="3"/>
  <c r="C27" i="3" s="1"/>
  <c r="C50" i="8" s="1"/>
  <c r="C13" i="7"/>
  <c r="C31" i="3" l="1"/>
  <c r="A5" i="8" s="1"/>
  <c r="B5"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<sst xmlns="http://schemas.openxmlformats.org/spreadsheetml/2006/main" count="237" uniqueCount="201">
  <si>
    <t>$DB.CONFIG -- Configuration Settings for eForm</t>
  </si>
  <si>
    <t>CONFIG_VAR</t>
  </si>
  <si>
    <t>CONFIG_DESC</t>
  </si>
  <si>
    <t>CONFIG_TYPE</t>
  </si>
  <si>
    <t>CONFIG_VALUE</t>
  </si>
  <si>
    <t>EFORM_REVISION_DATE</t>
  </si>
  <si>
    <t>FORM_TITLE</t>
  </si>
  <si>
    <t>Last Revision Date</t>
  </si>
  <si>
    <t>Form Title</t>
  </si>
  <si>
    <t>Date</t>
  </si>
  <si>
    <t>Text</t>
  </si>
  <si>
    <t>Affordable Housing Program (AHP) : Recapture Request Form (AHP-153)</t>
  </si>
  <si>
    <t>EFORM_REVISION_DISPLAY</t>
  </si>
  <si>
    <t>Last Revision Display ID</t>
  </si>
  <si>
    <t>(1) Sale, transfer or assignment of property to a subsequent purchaser whose income is unknown</t>
  </si>
  <si>
    <t>(2)  A refinance not subject to a deed restriction or other legally enforceable retention agreement</t>
  </si>
  <si>
    <t xml:space="preserve">(3) The unit was assisted with a permanent mortgage loan funded by an AHP subsidized advance </t>
  </si>
  <si>
    <t xml:space="preserve">(4)  Sale of property to a household with an income at or below 80% A.M.I.  </t>
  </si>
  <si>
    <t>(5) Following a refinancing, the unit continues to be subject to a deed restriction or other legally enforceable retention agreement</t>
  </si>
  <si>
    <t>(6) Foreclosure</t>
  </si>
  <si>
    <t>(8) Assignment of a Federal Housing Administration first mortgage to HUD</t>
  </si>
  <si>
    <t>(12) Other</t>
  </si>
  <si>
    <t>EVENT_TYPE_DESC</t>
  </si>
  <si>
    <t>QUAL_EVENT_NEXT_STEP</t>
  </si>
  <si>
    <t>QUAL_EVENT_SHORT_TEXT</t>
  </si>
  <si>
    <t>Proceed to Proxy Tab</t>
  </si>
  <si>
    <t>Proceed to Repayment Tab</t>
  </si>
  <si>
    <t>No Recapture Necessary</t>
  </si>
  <si>
    <t>EVENT_TYPE_CODE</t>
  </si>
  <si>
    <t>Contact the FHLBNY for assistance</t>
  </si>
  <si>
    <t>Proxy</t>
  </si>
  <si>
    <t>Repayment</t>
  </si>
  <si>
    <t>Sale, transfer, or assignment</t>
  </si>
  <si>
    <t>Refinance</t>
  </si>
  <si>
    <t>$DB.LOOKUP.TBL_LOOKUP_EVENTS</t>
  </si>
  <si>
    <t>PROGRAM_TYPE_CODE</t>
  </si>
  <si>
    <t>PROGRAM_TYPE_DESC</t>
  </si>
  <si>
    <t>LABEL_NAME</t>
  </si>
  <si>
    <t>LABEL_NUMBER</t>
  </si>
  <si>
    <t>AHP</t>
  </si>
  <si>
    <t>FHC</t>
  </si>
  <si>
    <t>HDP</t>
  </si>
  <si>
    <t>Affordable Housing Program</t>
  </si>
  <si>
    <t>First Home Club</t>
  </si>
  <si>
    <t>Homebuyer Dream Program</t>
  </si>
  <si>
    <t>Project Name</t>
  </si>
  <si>
    <t>Project Number</t>
  </si>
  <si>
    <t>Household Name</t>
  </si>
  <si>
    <t>Household ID</t>
  </si>
  <si>
    <t>$DB.LOOKUP.TBL_LOOKUP_PROGRAM_TYPE</t>
  </si>
  <si>
    <t>LABEL_ADDRESS</t>
  </si>
  <si>
    <t>Borrower Information</t>
  </si>
  <si>
    <t>Project Information</t>
  </si>
  <si>
    <t>LABEL_NETPROCEEDS_A</t>
  </si>
  <si>
    <t>Sales Price</t>
  </si>
  <si>
    <t>Principal Amount of the New Mortgage</t>
  </si>
  <si>
    <t>LABEL_NETPROCEEDS_B</t>
  </si>
  <si>
    <t>Outstanding Mortgage at the Time of Transaction</t>
  </si>
  <si>
    <t>Principal Amount of the Refinanced Mortgage</t>
  </si>
  <si>
    <t>LABEL_NETPROCEEDS_C</t>
  </si>
  <si>
    <t>LABEL_NETPROCEEDS_D</t>
  </si>
  <si>
    <t>Prepaids at Sale</t>
  </si>
  <si>
    <t>Prepaids at Refinance</t>
  </si>
  <si>
    <t>Escrows at Sale</t>
  </si>
  <si>
    <t>Escrows at Refinance</t>
  </si>
  <si>
    <t>PROXY_REQUIRED_FLAG</t>
  </si>
  <si>
    <t>$DB.DATA -- Shared Attributes</t>
  </si>
  <si>
    <t>ATTR_ID</t>
  </si>
  <si>
    <t>ATTR_DESC</t>
  </si>
  <si>
    <t>ATTR_VAL</t>
  </si>
  <si>
    <t>PROXY_INPUT_REQUIRED_FLG</t>
  </si>
  <si>
    <t>REPAYMENT_INPUT_REQUIRED_FLG</t>
  </si>
  <si>
    <t>PROXY INPUT REQUIRED FLAG</t>
  </si>
  <si>
    <t>REPAYMENT INPUT REQUIRED FLAG</t>
  </si>
  <si>
    <t>EVENT_TYPE_SELECTED_DESC</t>
  </si>
  <si>
    <t>LABEL_PROJTYPE_NAME</t>
  </si>
  <si>
    <t>LABEL_PROJTYPE_NUMBER</t>
  </si>
  <si>
    <t>LABEL_PROJTYPE_ADDRESS</t>
  </si>
  <si>
    <t>PROGRAM_TYPE_SELECTED_DESC</t>
  </si>
  <si>
    <t>PROXY_INPUT_CALC_RESULTS</t>
  </si>
  <si>
    <t>PROXY INPUT CALCULATION RESULTS (USED TO DETERMINE IF REPAYMENT INPUT REQUIRED)</t>
  </si>
  <si>
    <t>EVENT_TYPE_SHORT_TEXT</t>
  </si>
  <si>
    <t>SHORT DESCIPTION OF EVENT TYPE SELECTED (IF APPLICABLE) FOR REPAYMENT TAB DISPLAY</t>
  </si>
  <si>
    <t>EVENT TYPE SELECTED (1 - 12)</t>
  </si>
  <si>
    <t>PROGRAM TYPE SELECTED</t>
  </si>
  <si>
    <t>QUAL EVENT TAB &gt; FIELD LABEL (NAME)</t>
  </si>
  <si>
    <t>QUAL EVENT TAB &gt; FIELD LABEL (NUMBER)</t>
  </si>
  <si>
    <t>QUAL EVENT TAB &gt; FIELD LABEL (ADDRESS)</t>
  </si>
  <si>
    <t>REPAYMENT TAB &gt; FIELD LABEL (SALES PRICE)</t>
  </si>
  <si>
    <t>REPAYMENT TAB &gt; FIELD LABEL (OUTSTANDING MORTGAGE AT TRANSACTION)</t>
  </si>
  <si>
    <t>REPAYMENT TAB &gt; FIELD LABEL (PREPAIDS)</t>
  </si>
  <si>
    <t>REPAYMENT TAB &gt; FIELD LABEL (ESCROWS)</t>
  </si>
  <si>
    <t>QUALEVENT_NEXT_STEP</t>
  </si>
  <si>
    <t>QUAL_EVENT_NEXT_STEP_TARGET</t>
  </si>
  <si>
    <t>QUALEVENT_NEXT_STEP_TARGET</t>
  </si>
  <si>
    <t>QUALIFYING EVENT SELECTION - NEXT STEP IN RECAPTURE PROCESS (TAB TARGET HYPERLINK)</t>
  </si>
  <si>
    <t>QUALIFYING EVENT SELECTION - NEXT STEP IN RECAPTURE PROCESS (DESCRIPTION/DISPLAY)</t>
  </si>
  <si>
    <t>PROXY_INPUT_NEXT_STEP</t>
  </si>
  <si>
    <t>PROXY INPUT - NEXT STEP IN RECAPTURE PROCESS (DESCRIPTION/DISPLAY)</t>
  </si>
  <si>
    <t>PROXY_INPUT_NEXT_STEP_TARGET</t>
  </si>
  <si>
    <t>PROXY INPUT - NEXT STEP IN RECAPTURE PROCESS (TAB TARGET HYPERLINK)</t>
  </si>
  <si>
    <t>PROXY_INPUT_COMPLETE_FLG</t>
  </si>
  <si>
    <t>QUALEVENT_INPUT_COMPLETE_FLG</t>
  </si>
  <si>
    <t>QUALFYING EVENT INPUT - ALL FIELDS ENTERED FLAG</t>
  </si>
  <si>
    <t>REPAYMENT_INPUT_COMPLETE_FLG</t>
  </si>
  <si>
    <t>REPAYMENT_INPUT_CALC_RESULTS_PRORATA</t>
  </si>
  <si>
    <t>REPAYMENT_INPUT_CALC_RESULTS_NETPROCEEDS</t>
  </si>
  <si>
    <t>REPAYMENT_INPUT_CALC_RESULTS_LESSER</t>
  </si>
  <si>
    <t>REPAYMENT_INPUT_AMOUNT_TO_REPAY</t>
  </si>
  <si>
    <t>REPAYMENT INPUT CALCULATION RESULTS (PRO-RATA)</t>
  </si>
  <si>
    <t>REPAYMENT INPUT CALCULATION RESULTS (LESSER OF PRO-RATA &amp; NET PROCEEDS)</t>
  </si>
  <si>
    <t>REPAYMENT INPUT CALCULATION RESULTS (AMOUNT TO BE REPAID) (FINAL DISPLAY)</t>
  </si>
  <si>
    <t>EFORM_VERSION_NO</t>
  </si>
  <si>
    <t>eForm Version #</t>
  </si>
  <si>
    <r>
      <t>Affordable Housing Programs (AHP) :</t>
    </r>
    <r>
      <rPr>
        <sz val="11"/>
        <color theme="0"/>
        <rFont val="Calibri"/>
        <family val="2"/>
        <scheme val="minor"/>
      </rPr>
      <t xml:space="preserve"> Recapture Request Form (AHP-153)</t>
    </r>
  </si>
  <si>
    <t>Instructions for Owner-Occupied Unit Notice &amp; Repayment</t>
  </si>
  <si>
    <t>Completing the "Qualifying Event" tab</t>
  </si>
  <si>
    <t>Completing the "Proxy" tab</t>
  </si>
  <si>
    <t>Completing the "Repayment" tab</t>
  </si>
  <si>
    <t>1.  Fill out the “Number of Units,” “Sales Price,” and “Anticipated Date of Non-Compliance/ Pay off” boxes
2.  Next, access the Proxy test data by visiting https://www.hudexchange.info/resource/2312/home-maximum-purchase-price-after-rehab-value/
     • Download the HOME Homeownership Value Limits spreadsheet for the year in which the transaction occurred.  This will generate an Excel file
     • Open the file and find the county in which the AHP-assisted unit is located
     • Identify the “Existing Homes HOME/HTF Purchase Price Limit” in the file based on the size of the home (1, 2, 3, or 4 units)
3.  Return to the Proxy tab and enter the effective date of the Value Limits in the cell “HUD Data Year” 
4.  Input the Existing Homes value limit dollar figure into the “HUD Value Limit” cell 
5.  If the difference between sales price and value limit is positive, you will be instructed to Proceed to Repayment Tab.  
     If the difference is zero or negative, no recapture is necessary.</t>
  </si>
  <si>
    <t>1. Use the Repayment tab to calculate both the pro rata share and Net Proceeds minus Household Investment of AHP subsidy from the transaction 
2. Complete the information in sections #1 - #2
3. Section #3 will calculate the pro rata share of subsidy.  Enter data into the boxes:
    • AHP Subsidy Amount Disbursed to Borrower
    • Original Loan Closing Date
    • Anticipated Date of Non-Compliance/ Pay off
   The Amount of Subsidy Reduced on a Pro Rata Basis will auto-populate.
4. Section #4 will calculate the net proceeds from the transaction, minus the household’s investment.  Enter data into the boxes:
    • Sales Price or Principal Amount of New Mortgage
    • Current Transaction Closing Costs
    • Outstanding Mortgage at Time of Transaction or Principal Amount of the Refinanced Mortgage
    • Prepaids at Sale or Refinance
    • Escrows at Sale or Refinance 
    • Other Ineligible Costs (Please refer to guidelines for other ineligible costs)
    • Household Investment: Original Purchase Closing Costs
    • Prepaids at Original Purchase
    • Escrows at Original Purchase
    • Other Ineligible Costs (Please refer to guidelines for other ineligible costs)
    • Household Investment: Original Down Payment
    • Household Investment: Capital Improvements
    • Household Investment: Total Principal Paid Until This Transaction
    The Net Proceeds Minus Household Investment will auto populate.  Hover your mouse over each field in Section #4 for instruction on providing proper
    documentation. Contact HDP if you have any questions about these requirements.
5. Section #5 will auto populate the Amount to be Repaid.  Subsidy repayment is not necessary if the amount of the AHP subsidy that would be required to be 
    repaid is $2,500 or less</t>
  </si>
  <si>
    <t>Documentation Submission</t>
  </si>
  <si>
    <t>Qualifying Event</t>
  </si>
  <si>
    <t>1. Project/Household Details</t>
  </si>
  <si>
    <t>2. Preparer Information</t>
  </si>
  <si>
    <t>Member Name</t>
  </si>
  <si>
    <t>Prepared By</t>
  </si>
  <si>
    <t>Email Address</t>
  </si>
  <si>
    <t>Telephone Number</t>
  </si>
  <si>
    <t>Property Street Address</t>
  </si>
  <si>
    <t>Property City, State, Zip</t>
  </si>
  <si>
    <t>4. Notice Information</t>
  </si>
  <si>
    <t>AHP Subsidy Amount Disbursed</t>
  </si>
  <si>
    <t>Original Loan Closing Date</t>
  </si>
  <si>
    <t>Anticipated Date of Non-Compliance/ Pay off</t>
  </si>
  <si>
    <t>5. Event Type</t>
  </si>
  <si>
    <r>
      <t xml:space="preserve">Program </t>
    </r>
    <r>
      <rPr>
        <i/>
        <sz val="10"/>
        <color theme="1"/>
        <rFont val="Calibri"/>
        <family val="2"/>
        <scheme val="minor"/>
      </rPr>
      <t>(select one)</t>
    </r>
  </si>
  <si>
    <r>
      <t xml:space="preserve">Event Type </t>
    </r>
    <r>
      <rPr>
        <i/>
        <sz val="10"/>
        <color theme="1"/>
        <rFont val="Calibri"/>
        <family val="2"/>
        <scheme val="minor"/>
      </rPr>
      <t>(select one)</t>
    </r>
  </si>
  <si>
    <t>Next Step in Recapture Process</t>
  </si>
  <si>
    <t xml:space="preserve">(9) Death of AHP-assisted Homeowner </t>
  </si>
  <si>
    <t>(10) AHP assisted household voluntary repayment of grant and property will not be conveyed to another household</t>
  </si>
  <si>
    <t>Proxy Data</t>
  </si>
  <si>
    <t>$DB.LOOKUP.TBL_LOOKUP_NUM_UNITS</t>
  </si>
  <si>
    <t>NUM_UNITS_DESC</t>
  </si>
  <si>
    <t>1-unit</t>
  </si>
  <si>
    <t>2-unit</t>
  </si>
  <si>
    <t>3-unit</t>
  </si>
  <si>
    <t>4-unit</t>
  </si>
  <si>
    <r>
      <t xml:space="preserve">Number of Units </t>
    </r>
    <r>
      <rPr>
        <i/>
        <sz val="10"/>
        <color theme="1"/>
        <rFont val="Calibri"/>
        <family val="2"/>
        <scheme val="minor"/>
      </rPr>
      <t>(select one)</t>
    </r>
  </si>
  <si>
    <t>HUD Value Limit</t>
  </si>
  <si>
    <t>Anticipated Date of Non-Compliance / Pay off</t>
  </si>
  <si>
    <t>https://www.hudexchange.info/resource/2312/home-maximum-purchase-price-after-rehab-value/</t>
  </si>
  <si>
    <t>PROXY INPUT - ALL FIELDS ENTERED FLAG</t>
  </si>
  <si>
    <t>LABEL_PROXYTEST_HEADER</t>
  </si>
  <si>
    <t>PROXY TEST SECTION HEADER (UX FRIENDLY)</t>
  </si>
  <si>
    <t>LABEL_PROXYTEST_HEADER_WARNING_FLG</t>
  </si>
  <si>
    <t>PROXY TEST SECTION HEADER - WARNING FLAG (DRIVES CONDITIONAL FORMATTING)</t>
  </si>
  <si>
    <t>LABEL_REPAYMENT_HEADER</t>
  </si>
  <si>
    <t>LABEL_REPAYMENT_HEADER_WARNING_FLG</t>
  </si>
  <si>
    <t>REPAYMENT SECTION HEADER (UX FRIENDLY)</t>
  </si>
  <si>
    <t>REPAYMENT SECTION HEADER - WARNING FLAG (DRIVES CONDITIONAL FORMATTING)</t>
  </si>
  <si>
    <t>Event Type</t>
  </si>
  <si>
    <t>2. Borrower Information</t>
  </si>
  <si>
    <t>Original Borrower Name</t>
  </si>
  <si>
    <t>AHP Subsidy Amount Disbursed to Borrower</t>
  </si>
  <si>
    <t>Subsidy pro rata reduction</t>
  </si>
  <si>
    <t>Amount of Subsidy Reduced on a Pro Rata Basis</t>
  </si>
  <si>
    <t>Current Transaction Closing Costs</t>
  </si>
  <si>
    <t>Net Proceeds</t>
  </si>
  <si>
    <t>Eligible Transaction Closing Costs</t>
  </si>
  <si>
    <t>Household Investment</t>
  </si>
  <si>
    <t>Prepaids at Original Purchase</t>
  </si>
  <si>
    <t>Escrows at Original Purchase</t>
  </si>
  <si>
    <t>Eligible Original Purchase Closing Costs</t>
  </si>
  <si>
    <t>Capital Improvements</t>
  </si>
  <si>
    <t>Total Principal Paid Until This Transaction</t>
  </si>
  <si>
    <t>Original Down Payment</t>
  </si>
  <si>
    <t>Calculation Results</t>
  </si>
  <si>
    <t>Net Proceeds Minus Household Investment</t>
  </si>
  <si>
    <t>5. Repayment Results</t>
  </si>
  <si>
    <t>3. Pro Rata Calculation</t>
  </si>
  <si>
    <t>4. Net Proceeds Minus Household Investment Calculation</t>
  </si>
  <si>
    <t>Amount to be Repaid</t>
  </si>
  <si>
    <t>REPAYMENT INPUT - ALL FIELDS ENTERED FLAG</t>
  </si>
  <si>
    <t>REPAYMENT INPUT CALCULATION RESULTS (NET PROCEEDS MINUS HOUSEHOLD INVESTMENT)</t>
  </si>
  <si>
    <t>Total Household Investment</t>
  </si>
  <si>
    <t>Difference Between Sales Price and Value Limit</t>
  </si>
  <si>
    <t>1.</t>
  </si>
  <si>
    <t>2.</t>
  </si>
  <si>
    <t>3.</t>
  </si>
  <si>
    <t>4.</t>
  </si>
  <si>
    <t>(7) Transfer by deed in lieu of foreclosure</t>
  </si>
  <si>
    <t>(11) Sale, transfer or assignment of property to a subsequent purchaser whose income has been verified and is above 80% A.M.I.</t>
  </si>
  <si>
    <t>HUD Data Effective Date</t>
  </si>
  <si>
    <t>Original Purchase Closing Costs*</t>
  </si>
  <si>
    <t>Other Ineligible Costs**</t>
  </si>
  <si>
    <t>** Please refer to guidelines for other ineglible costs</t>
  </si>
  <si>
    <t>* Includes down payment and closing costs paid using FHLBNY subsidy, gifts, grants or other subsidy from a third party</t>
  </si>
  <si>
    <r>
      <t xml:space="preserve">1.  Fill out all fields in sections #1 - #4
2 “Event Type” (# 5) provides several options in a drop down box.  Select one and follow the instructions in the “Next Step in Recapture Process” box:
     • Sale, transfer or assignment of property to a subsequent purchaser whose income is unknown
     • A refinance not subject to a deed restriction or other legally enforceable retention agreement
     • The unit was assisted with a permanent mortgage loan funded by an AHP subsidized advance 
     • Sale of property to a household with an income at or below 80% A.M.I. 
     • Following a refinancing, the unit continues to be subject to a deed restriction or other legally enforceable retention agreement
     • Foreclosure
     • Transfer by deed in lieu of foreclosure
     • Assignment of a Federal Housing Administration first mortgage to HUD
     • Death of AHP-assisted Homeowner 
     • AHP assisted household voluntary repayment of grant and property will not be conveyed to another household
     • Sale, transfer or assignment of property to a subsequent purchaser whose income has been verified and is above 80% A.M.I.
     • Other
3. You will either be instructed to “Procced to Proxy” tab “Proceed to Repayment” tab, informed “No Recapture is Necessary” or to "Contact FHLBNY for assistance" as
    indicated in the “Next Step in Recapture Process” box
</t>
    </r>
    <r>
      <rPr>
        <b/>
        <sz val="10"/>
        <color theme="1"/>
        <rFont val="Calibri"/>
        <family val="2"/>
        <scheme val="minor"/>
      </rPr>
      <t>NOTE</t>
    </r>
    <r>
      <rPr>
        <sz val="10"/>
        <color theme="1"/>
        <rFont val="Calibri"/>
        <family val="2"/>
        <scheme val="minor"/>
      </rPr>
      <t>: If “Contact FHLBNY for assistance” is displayed, please email your FHLBNY representative at either AHP@FHLBNY.com for AHP projects or HDP@FHLBNY.com for HDP or FHC related matters.</t>
    </r>
  </si>
  <si>
    <t>3.1.0</t>
  </si>
  <si>
    <r>
      <t xml:space="preserve">In cases where there was a sale, transfer, or assignment to low- or moderate-income household, and the purchaser has income that is 80% or below the AMI, attach a completed AHP Household Income Calculation Worksheet and supporting documentation for the purchaser household.  If supporting documentation for the purchaser household’s income is not available and a proxy test is conducted, retain the HUD Existing Homeownership Value Limits and any other applicable supporting documentation in case the transaction is selected for FHLBNY's sample.  
If net proceeds calculation is lower than pro rata calculation, retain all third party documentation to support the net proceeds calculation amounts entered in the worksheet (e.g. estimated title company closing statement, capital improvement invoices, evidence of original down payment, etc.), in the event this transaction is selected for FHLBNY's sample. If upon FHLBNY's request the third party documentation is not available and any portion of the household's total investment cannot be adequately documented, that portion would not be subtracted from the net proceeds in calculating the amount of repayment. For more detailed instructions on completing the AHP-153 Recapture Request Form, including guidelines and tutorials, visit </t>
    </r>
    <r>
      <rPr>
        <b/>
        <u/>
        <sz val="10"/>
        <color theme="3"/>
        <rFont val="Calibri"/>
        <family val="2"/>
        <scheme val="minor"/>
      </rPr>
      <t>https://www.fhlbny.com/community/housing-programs/hdp/forms</t>
    </r>
    <r>
      <rPr>
        <sz val="10"/>
        <color theme="1"/>
        <rFont val="Calibri"/>
        <family val="2"/>
        <scheme val="minor"/>
      </rPr>
      <t xml:space="preserve">.
Although not an exhaustive list, reasonable and customary costs in the </t>
    </r>
    <r>
      <rPr>
        <u/>
        <sz val="10"/>
        <color theme="1"/>
        <rFont val="Calibri"/>
        <family val="2"/>
        <scheme val="minor"/>
      </rPr>
      <t>Net Proceeds</t>
    </r>
    <r>
      <rPr>
        <sz val="10"/>
        <color theme="1"/>
        <rFont val="Calibri"/>
        <family val="2"/>
        <scheme val="minor"/>
      </rPr>
      <t xml:space="preserve"> calculation include recording fees, real estate broker’s commission, attorney’s fees, seller credits and adjustments for items unpaid by seller. Also, prepaids, escrows and closing costs financed through the mortgage, including 203k loans are not considered eligible closing costs in the </t>
    </r>
    <r>
      <rPr>
        <u/>
        <sz val="10"/>
        <color theme="1"/>
        <rFont val="Calibri"/>
        <family val="2"/>
        <scheme val="minor"/>
      </rPr>
      <t>Household Investment</t>
    </r>
    <r>
      <rPr>
        <sz val="10"/>
        <color theme="1"/>
        <rFont val="Calibri"/>
        <family val="2"/>
        <scheme val="minor"/>
      </rPr>
      <t xml:space="preserve"> calculation.  
</t>
    </r>
    <r>
      <rPr>
        <b/>
        <sz val="10"/>
        <color theme="1"/>
        <rFont val="Calibri"/>
        <family val="2"/>
        <scheme val="minor"/>
      </rPr>
      <t>NOTE</t>
    </r>
    <r>
      <rPr>
        <sz val="10"/>
        <color theme="1"/>
        <rFont val="Calibri"/>
        <family val="2"/>
        <scheme val="minor"/>
      </rPr>
      <t xml:space="preserve">: Redact any confidential information such as social security numbers or account numbers and consult HDP for guidance on third party documentation required to demonstrate the NPHI Calculation before completing the form.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</si>
</sst>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lt;=9999999]###\-####;\(###\)\ ###\-####"/>
    <numFmt numFmtId="165" formatCode="&quot;$&quot;#,##0.00"/>
  </numFmts>
  <fonts count="16"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0"/>
      <color theme="1"/>
      <name val="Calibri"/>
      <family val="2"/>
      <scheme val="minor"/>
    </font>
    <font>
      <u/>
      <sz val="11"/>
      <color theme="10"/>
      <name val="Calibri"/>
      <family val="2"/>
      <scheme val="minor"/>
    </font>
    <font>
      <b/>
      <sz val="10"/>
      <color theme="0"/>
      <name val="Calibri"/>
      <family val="2"/>
      <scheme val="minor"/>
    </font>
    <font>
      <b/>
      <sz val="10"/>
      <color theme="1"/>
      <name val="Calibri"/>
      <family val="2"/>
      <scheme val="minor"/>
    </font>
    <font>
      <b/>
      <sz val="12"/>
      <color theme="0"/>
      <name val="Calibri"/>
      <family val="2"/>
      <scheme val="minor"/>
    </font>
    <font>
      <i/>
      <sz val="10"/>
      <color theme="0"/>
      <name val="Calibri"/>
      <family val="2"/>
      <scheme val="minor"/>
    </font>
    <font>
      <i/>
      <sz val="10"/>
      <color theme="1"/>
      <name val="Calibri"/>
      <family val="2"/>
      <scheme val="minor"/>
    </font>
    <font>
      <b/>
      <u/>
      <sz val="10"/>
      <color theme="3"/>
      <name val="Calibri"/>
      <family val="2"/>
      <scheme val="minor"/>
    </font>
    <font>
      <b/>
      <sz val="10"/>
      <color theme="3"/>
      <name val="Calibri"/>
      <family val="2"/>
      <scheme val="minor"/>
    </font>
    <font>
      <b/>
      <sz val="10"/>
      <name val="Calibri"/>
      <family val="2"/>
      <scheme val="minor"/>
    </font>
    <font>
      <i/>
      <sz val="9"/>
      <color theme="1"/>
      <name val="Calibri"/>
      <family val="2"/>
      <scheme val="minor"/>
    </font>
    <font>
      <u/>
      <sz val="10"/>
      <color theme="1"/>
      <name val="Calibri"/>
      <family val="2"/>
      <scheme val="minor"/>
    </font>
  </fonts>
  <fills count="11">
    <fill>
      <patternFill patternType="none"/>
    </fill>
    <fill>
      <patternFill patternType="gray125"/>
    </fill>
    <fill>
      <patternFill patternType="solid">
        <fgColor theme="3" tint="0.79998168889431442"/>
        <bgColor indexed="64"/>
      </patternFill>
    </fill>
    <fill>
      <patternFill patternType="solid">
        <fgColor rgb="FF00305E"/>
        <bgColor indexed="64"/>
      </patternFill>
    </fill>
    <fill>
      <patternFill patternType="solid">
        <fgColor theme="1" tint="0.499984740745262"/>
        <bgColor indexed="64"/>
      </patternFill>
    </fill>
    <fill>
      <patternFill patternType="solid">
        <fgColor rgb="FFFFFFCC"/>
        <bgColor indexed="64"/>
      </patternFill>
    </fill>
    <fill>
      <patternFill patternType="solid">
        <fgColor theme="4" tint="0.79998168889431442"/>
        <bgColor indexed="64"/>
      </patternFill>
    </fill>
    <fill>
      <patternFill patternType="solid">
        <fgColor theme="0" tint="-4.9989318521683403E-2"/>
        <bgColor indexed="64"/>
      </patternFill>
    </fill>
    <fill>
      <gradientFill degree="90">
        <stop position="0">
          <color rgb="FF8EB149"/>
        </stop>
        <stop position="1">
          <color rgb="FF708B39"/>
        </stop>
      </gradientFill>
    </fill>
    <fill>
      <patternFill patternType="solid">
        <fgColor theme="0"/>
        <bgColor indexed="64"/>
      </patternFill>
    </fill>
    <fill>
      <patternFill patternType="solid">
        <fgColor theme="6" tint="0.79998168889431442"/>
        <bgColor indexed="64"/>
      </patternFill>
    </fill>
  </fills>
  <borders count="6">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s>
  <cellStyleXfs count="2">
    <xf numFmtId="0" fontId="0" fillId="0" borderId="0"/>
    <xf numFmtId="0" fontId="5" fillId="0" borderId="0" applyNumberFormat="0" applyFill="0" applyBorder="0" applyAlignment="0" applyProtection="0"/>
  </cellStyleXfs>
  <cellXfs count="65">
    <xf numFmtId="0" fontId="0" fillId="0" borderId="0" xfId="0"/>
    <xf numFmtId="0" fontId="4" fillId="0" borderId="0" xfId="0" applyFont="1"/>
    <xf numFmtId="0" fontId="4" fillId="0" borderId="0" xfId="0" applyFont="1" applyAlignment="1">
      <alignment horizontal="center"/>
    </xf>
    <xf numFmtId="0" fontId="4" fillId="0" borderId="0" xfId="0" applyFont="1" applyAlignment="1">
      <alignment horizontal="left"/>
    </xf>
    <xf numFmtId="0" fontId="7" fillId="0" borderId="0" xfId="0" applyFont="1"/>
    <xf numFmtId="14" fontId="4" fillId="0" borderId="0" xfId="0" applyNumberFormat="1" applyFont="1" applyAlignment="1">
      <alignment horizontal="left"/>
    </xf>
    <xf numFmtId="0" fontId="7" fillId="0" borderId="0" xfId="0" applyFont="1" applyAlignment="1">
      <alignment horizontal="right"/>
    </xf>
    <xf numFmtId="0" fontId="8" fillId="3" borderId="0" xfId="0" applyFont="1" applyFill="1" applyAlignment="1">
      <alignment vertical="center"/>
    </xf>
    <xf numFmtId="0" fontId="1" fillId="3" borderId="0" xfId="0" applyFont="1" applyFill="1" applyAlignment="1">
      <alignment vertical="center"/>
    </xf>
    <xf numFmtId="0" fontId="0" fillId="0" borderId="0" xfId="0" applyFill="1"/>
    <xf numFmtId="0" fontId="0" fillId="6" borderId="0" xfId="0" applyFill="1"/>
    <xf numFmtId="0" fontId="2" fillId="6" borderId="0" xfId="0" applyFont="1" applyFill="1" applyAlignment="1">
      <alignment vertical="center"/>
    </xf>
    <xf numFmtId="0" fontId="6" fillId="4" borderId="0" xfId="0" applyFont="1" applyFill="1" applyAlignment="1">
      <alignment horizontal="left" vertical="center"/>
    </xf>
    <xf numFmtId="0" fontId="6" fillId="4" borderId="0" xfId="0" applyFont="1" applyFill="1" applyAlignment="1">
      <alignment horizontal="center" vertical="center"/>
    </xf>
    <xf numFmtId="0" fontId="9" fillId="3" borderId="0" xfId="0" applyFont="1" applyFill="1" applyAlignment="1">
      <alignment horizontal="right" vertical="center" indent="1"/>
    </xf>
    <xf numFmtId="0" fontId="4" fillId="0" borderId="0" xfId="0" applyFont="1" applyAlignment="1">
      <alignment wrapText="1"/>
    </xf>
    <xf numFmtId="0" fontId="6" fillId="0" borderId="0" xfId="0" applyFont="1" applyFill="1" applyAlignment="1">
      <alignment horizontal="left" vertical="center"/>
    </xf>
    <xf numFmtId="0" fontId="4" fillId="0" borderId="0" xfId="0" applyFont="1" applyFill="1" applyAlignment="1">
      <alignment vertical="center"/>
    </xf>
    <xf numFmtId="0" fontId="4" fillId="0" borderId="0" xfId="0" applyFont="1" applyAlignment="1">
      <alignment vertical="center"/>
    </xf>
    <xf numFmtId="0" fontId="0" fillId="0" borderId="0" xfId="0" applyAlignment="1">
      <alignment vertical="center"/>
    </xf>
    <xf numFmtId="0" fontId="4" fillId="7" borderId="1" xfId="0" applyFont="1" applyFill="1" applyBorder="1" applyAlignment="1">
      <alignment horizontal="left" vertical="center" wrapText="1" indent="1"/>
    </xf>
    <xf numFmtId="0" fontId="4" fillId="0" borderId="0" xfId="0" applyFont="1" applyFill="1" applyAlignment="1">
      <alignment horizontal="left"/>
    </xf>
    <xf numFmtId="0" fontId="4" fillId="0" borderId="0" xfId="0" applyNumberFormat="1" applyFont="1" applyFill="1" applyAlignment="1">
      <alignment horizontal="left"/>
    </xf>
    <xf numFmtId="0" fontId="7" fillId="7" borderId="1" xfId="0" applyFont="1" applyFill="1" applyBorder="1" applyAlignment="1">
      <alignment horizontal="left" vertical="center" wrapText="1" indent="1"/>
    </xf>
    <xf numFmtId="0" fontId="8" fillId="8" borderId="0" xfId="1" applyFont="1" applyFill="1" applyBorder="1" applyAlignment="1" applyProtection="1">
      <alignment horizontal="center" vertical="center" wrapText="1"/>
      <protection hidden="1"/>
    </xf>
    <xf numFmtId="0" fontId="4" fillId="0" borderId="0" xfId="0" applyFont="1" applyAlignment="1">
      <alignment horizontal="center" vertical="center"/>
    </xf>
    <xf numFmtId="0" fontId="4" fillId="7" borderId="2" xfId="0" applyFont="1" applyFill="1" applyBorder="1" applyAlignment="1">
      <alignment horizontal="left" vertical="center" wrapText="1" indent="1"/>
    </xf>
    <xf numFmtId="0" fontId="4" fillId="0" borderId="0" xfId="0" applyNumberFormat="1" applyFont="1" applyBorder="1" applyAlignment="1">
      <alignment horizontal="left" vertical="center" indent="1"/>
    </xf>
    <xf numFmtId="0" fontId="4" fillId="7" borderId="1" xfId="0" applyFont="1" applyFill="1" applyBorder="1" applyAlignment="1">
      <alignment horizontal="left" vertical="center" wrapText="1" indent="2"/>
    </xf>
    <xf numFmtId="0" fontId="7" fillId="7" borderId="5" xfId="0" applyFont="1" applyFill="1" applyBorder="1" applyAlignment="1">
      <alignment horizontal="left" vertical="center" wrapText="1" indent="1"/>
    </xf>
    <xf numFmtId="0" fontId="4" fillId="0" borderId="0" xfId="0" applyFont="1" applyFill="1" applyAlignment="1">
      <alignment horizontal="center" vertical="center"/>
    </xf>
    <xf numFmtId="0" fontId="6" fillId="0" borderId="0" xfId="0" applyFont="1" applyFill="1" applyAlignment="1">
      <alignment horizontal="left" vertical="center" indent="1"/>
    </xf>
    <xf numFmtId="0" fontId="14" fillId="0" borderId="0" xfId="0" applyFont="1"/>
    <xf numFmtId="0" fontId="0" fillId="0" borderId="0" xfId="0" applyFont="1" applyAlignment="1">
      <alignment horizontal="center" vertical="center"/>
    </xf>
    <xf numFmtId="0" fontId="0" fillId="0" borderId="0" xfId="0" applyFont="1" applyAlignment="1">
      <alignment horizontal="right" vertical="center" indent="1"/>
    </xf>
    <xf numFmtId="49" fontId="6" fillId="4" borderId="0" xfId="0" applyNumberFormat="1" applyFont="1" applyFill="1" applyAlignment="1">
      <alignment horizontal="center" vertical="center"/>
    </xf>
    <xf numFmtId="0" fontId="4" fillId="0" borderId="0" xfId="0" applyFont="1" applyAlignment="1">
      <alignment horizontal="left" vertical="top" wrapText="1"/>
    </xf>
    <xf numFmtId="0" fontId="4" fillId="0" borderId="0" xfId="0" applyFont="1" applyAlignment="1">
      <alignment horizontal="left" vertical="top"/>
    </xf>
    <xf numFmtId="0" fontId="6" fillId="4" borderId="0" xfId="0" applyFont="1" applyFill="1" applyAlignment="1">
      <alignment horizontal="left" vertical="center"/>
    </xf>
    <xf numFmtId="14" fontId="4" fillId="5" borderId="2" xfId="0" applyNumberFormat="1" applyFont="1" applyFill="1" applyBorder="1" applyAlignment="1" applyProtection="1">
      <alignment horizontal="left" vertical="center" indent="1"/>
      <protection locked="0"/>
    </xf>
    <xf numFmtId="14" fontId="4" fillId="5" borderId="3" xfId="0" applyNumberFormat="1" applyFont="1" applyFill="1" applyBorder="1" applyAlignment="1" applyProtection="1">
      <alignment horizontal="left" vertical="center" indent="1"/>
      <protection locked="0"/>
    </xf>
    <xf numFmtId="0" fontId="6" fillId="4" borderId="0" xfId="0" applyFont="1" applyFill="1" applyAlignment="1">
      <alignment horizontal="left" vertical="center" indent="1"/>
    </xf>
    <xf numFmtId="0" fontId="4" fillId="5" borderId="2" xfId="0" applyFont="1" applyFill="1" applyBorder="1" applyAlignment="1" applyProtection="1">
      <alignment horizontal="left" vertical="center" wrapText="1" indent="1"/>
      <protection locked="0"/>
    </xf>
    <xf numFmtId="0" fontId="4" fillId="5" borderId="3" xfId="0" applyFont="1" applyFill="1" applyBorder="1" applyAlignment="1" applyProtection="1">
      <alignment horizontal="left" vertical="center" wrapText="1" indent="1"/>
      <protection locked="0"/>
    </xf>
    <xf numFmtId="0" fontId="7" fillId="2" borderId="2" xfId="0" applyFont="1" applyFill="1" applyBorder="1" applyAlignment="1">
      <alignment horizontal="left" vertical="center" indent="1"/>
    </xf>
    <xf numFmtId="0" fontId="7" fillId="2" borderId="3" xfId="0" applyFont="1" applyFill="1" applyBorder="1" applyAlignment="1">
      <alignment horizontal="left" vertical="center" indent="1"/>
    </xf>
    <xf numFmtId="0" fontId="4" fillId="5" borderId="2" xfId="0" applyFont="1" applyFill="1" applyBorder="1" applyAlignment="1" applyProtection="1">
      <alignment horizontal="left" vertical="center" indent="1"/>
      <protection locked="0"/>
    </xf>
    <xf numFmtId="0" fontId="4" fillId="5" borderId="3" xfId="0" applyFont="1" applyFill="1" applyBorder="1" applyAlignment="1" applyProtection="1">
      <alignment horizontal="left" vertical="center" indent="1"/>
      <protection locked="0"/>
    </xf>
    <xf numFmtId="165" fontId="4" fillId="5" borderId="2" xfId="0" applyNumberFormat="1" applyFont="1" applyFill="1" applyBorder="1" applyAlignment="1" applyProtection="1">
      <alignment horizontal="left" vertical="center" indent="1"/>
      <protection locked="0"/>
    </xf>
    <xf numFmtId="165" fontId="4" fillId="5" borderId="3" xfId="0" applyNumberFormat="1" applyFont="1" applyFill="1" applyBorder="1" applyAlignment="1" applyProtection="1">
      <alignment horizontal="left" vertical="center" indent="1"/>
      <protection locked="0"/>
    </xf>
    <xf numFmtId="164" fontId="4" fillId="5" borderId="2" xfId="0" applyNumberFormat="1" applyFont="1" applyFill="1" applyBorder="1" applyAlignment="1" applyProtection="1">
      <alignment horizontal="left" vertical="center" indent="1"/>
      <protection locked="0"/>
    </xf>
    <xf numFmtId="164" fontId="4" fillId="5" borderId="3" xfId="0" applyNumberFormat="1" applyFont="1" applyFill="1" applyBorder="1" applyAlignment="1" applyProtection="1">
      <alignment horizontal="left" vertical="center" indent="1"/>
      <protection locked="0"/>
    </xf>
    <xf numFmtId="0" fontId="4" fillId="5" borderId="3" xfId="0" applyNumberFormat="1" applyFont="1" applyFill="1" applyBorder="1" applyAlignment="1" applyProtection="1">
      <alignment horizontal="left" vertical="center" indent="1"/>
      <protection locked="0"/>
    </xf>
    <xf numFmtId="165" fontId="4" fillId="0" borderId="1" xfId="0" applyNumberFormat="1" applyFont="1" applyBorder="1" applyAlignment="1">
      <alignment horizontal="left" vertical="center" indent="1"/>
    </xf>
    <xf numFmtId="0" fontId="11" fillId="0" borderId="2" xfId="1" applyFont="1" applyBorder="1" applyAlignment="1">
      <alignment horizontal="left" vertical="center" wrapText="1" indent="1"/>
    </xf>
    <xf numFmtId="0" fontId="12" fillId="0" borderId="3" xfId="0" applyFont="1" applyBorder="1" applyAlignment="1">
      <alignment horizontal="left" vertical="center" wrapText="1" indent="1"/>
    </xf>
    <xf numFmtId="14" fontId="4" fillId="0" borderId="1" xfId="0" applyNumberFormat="1" applyFont="1" applyBorder="1" applyAlignment="1">
      <alignment horizontal="left" vertical="center" indent="1"/>
    </xf>
    <xf numFmtId="0" fontId="4" fillId="0" borderId="1" xfId="0" applyNumberFormat="1" applyFont="1" applyBorder="1" applyAlignment="1">
      <alignment horizontal="left" vertical="center" indent="1"/>
    </xf>
    <xf numFmtId="165" fontId="7" fillId="0" borderId="5" xfId="0" applyNumberFormat="1" applyFont="1" applyBorder="1" applyAlignment="1">
      <alignment horizontal="left" vertical="center" indent="1"/>
    </xf>
    <xf numFmtId="0" fontId="13" fillId="10" borderId="2" xfId="0" applyFont="1" applyFill="1" applyBorder="1" applyAlignment="1">
      <alignment horizontal="left" vertical="center" indent="1"/>
    </xf>
    <xf numFmtId="0" fontId="13" fillId="10" borderId="4" xfId="0" applyFont="1" applyFill="1" applyBorder="1" applyAlignment="1">
      <alignment horizontal="left" vertical="center" indent="1"/>
    </xf>
    <xf numFmtId="0" fontId="13" fillId="10" borderId="3" xfId="0" applyFont="1" applyFill="1" applyBorder="1" applyAlignment="1">
      <alignment horizontal="left" vertical="center" indent="1"/>
    </xf>
    <xf numFmtId="165" fontId="7" fillId="9" borderId="1" xfId="0" applyNumberFormat="1" applyFont="1" applyFill="1" applyBorder="1" applyAlignment="1">
      <alignment horizontal="left" vertical="center" indent="1"/>
    </xf>
    <xf numFmtId="165" fontId="4" fillId="5" borderId="1" xfId="0" applyNumberFormat="1" applyFont="1" applyFill="1" applyBorder="1" applyAlignment="1" applyProtection="1">
      <alignment horizontal="left" vertical="center" indent="1"/>
      <protection locked="0"/>
    </xf>
    <xf numFmtId="165" fontId="7" fillId="0" borderId="1" xfId="0" applyNumberFormat="1" applyFont="1" applyBorder="1" applyAlignment="1">
      <alignment horizontal="left" vertical="center" indent="1"/>
    </xf>
  </cellXfs>
  <cellStyles count="2">
    <cellStyle name="Hyperlink" xfId="1" builtinId="8"/>
    <cellStyle name="Normal" xfId="0" builtinId="0"/>
  </cellStyles>
  <dxfs count="43">
    <dxf>
      <font>
        <strike val="0"/>
        <outline val="0"/>
        <shadow val="0"/>
        <u val="none"/>
        <vertAlign val="baseline"/>
        <sz val="10"/>
        <color theme="1"/>
        <name val="Calibri"/>
        <family val="2"/>
        <scheme val="minor"/>
      </font>
      <fill>
        <patternFill patternType="none">
          <fgColor indexed="64"/>
          <bgColor auto="1"/>
        </patternFill>
      </fill>
      <alignment horizontal="left" vertical="bottom" textRotation="0" wrapText="0" indent="0" justifyLastLine="0" shrinkToFit="0" readingOrder="0"/>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alignment horizontal="left" vertical="bottom" textRotation="0" wrapText="0" indent="0" justifyLastLine="0" shrinkToFit="0" readingOrder="0"/>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ill>
        <patternFill patternType="lightUp">
          <fgColor theme="0" tint="-0.14996795556505021"/>
          <bgColor theme="0" tint="-4.9989318521683403E-2"/>
        </patternFill>
      </fill>
    </dxf>
    <dxf>
      <font>
        <color theme="0"/>
      </font>
      <fill>
        <patternFill>
          <bgColor theme="0"/>
        </patternFill>
      </fill>
      <border>
        <left/>
        <right/>
        <top/>
        <bottom/>
        <vertical/>
        <horizontal/>
      </border>
    </dxf>
    <dxf>
      <font>
        <color auto="1"/>
      </font>
      <fill>
        <patternFill>
          <bgColor theme="9" tint="0.59996337778862885"/>
        </patternFill>
      </fill>
    </dxf>
    <dxf>
      <font>
        <color theme="0"/>
      </font>
      <fill>
        <patternFill>
          <bgColor theme="0"/>
        </patternFill>
      </fill>
    </dxf>
    <dxf>
      <font>
        <color theme="0"/>
      </font>
      <fill>
        <patternFill>
          <bgColor theme="0"/>
        </patternFill>
      </fill>
    </dxf>
    <dxf>
      <font>
        <color theme="0"/>
      </font>
      <fill>
        <patternFill>
          <bgColor theme="0"/>
        </patternFill>
      </fill>
      <border>
        <left/>
        <right/>
        <top/>
        <bottom/>
        <vertical/>
        <horizontal/>
      </border>
    </dxf>
    <dxf>
      <font>
        <color auto="1"/>
      </font>
      <fill>
        <patternFill>
          <bgColor theme="9" tint="0.59996337778862885"/>
        </patternFill>
      </fill>
    </dxf>
    <dxf>
      <font>
        <color theme="0"/>
      </font>
      <fill>
        <patternFill>
          <bgColor theme="0"/>
        </patternFill>
      </fill>
    </dxf>
    <dxf>
      <font>
        <color theme="0"/>
      </font>
      <fill>
        <patternFill>
          <bgColor theme="0"/>
        </patternFill>
      </fill>
    </dxf>
    <dxf>
      <font>
        <b val="0"/>
        <i/>
      </font>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fhlbny.com/community/housing-programs/hdp/forms"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1295403</xdr:colOff>
      <xdr:row>0</xdr:row>
      <xdr:rowOff>533401</xdr:rowOff>
    </xdr:to>
    <xdr:pic>
      <xdr:nvPicPr>
        <xdr:cNvPr id="2" name="Picture 1" descr="2015FHLBNY_Logo_1.75in.png">
          <a:extLst>
            <a:ext uri="{FF2B5EF4-FFF2-40B4-BE49-F238E27FC236}">
              <a16:creationId xmlns:a16="http://schemas.microsoft.com/office/drawing/2014/main" id="{3D37AE4D-81F0-40AC-9F24-28B9F8905A48}"/>
            </a:ext>
          </a:extLst>
        </xdr:cNvPr>
        <xdr:cNvPicPr>
          <a:picLocks noChangeAspect="1"/>
        </xdr:cNvPicPr>
      </xdr:nvPicPr>
      <xdr:blipFill>
        <a:blip xmlns:r="http://schemas.openxmlformats.org/officeDocument/2006/relationships" r:embed="rId1" cstate="print"/>
        <a:stretch>
          <a:fillRect/>
        </a:stretch>
      </xdr:blipFill>
      <xdr:spPr>
        <a:xfrm>
          <a:off x="104775" y="0"/>
          <a:ext cx="1600203" cy="533401"/>
        </a:xfrm>
        <a:prstGeom prst="rect">
          <a:avLst/>
        </a:prstGeom>
      </xdr:spPr>
    </xdr:pic>
    <xdr:clientData/>
  </xdr:twoCellAnchor>
  <xdr:twoCellAnchor editAs="oneCell">
    <xdr:from>
      <xdr:col>2</xdr:col>
      <xdr:colOff>4371975</xdr:colOff>
      <xdr:row>14</xdr:row>
      <xdr:rowOff>1447800</xdr:rowOff>
    </xdr:from>
    <xdr:to>
      <xdr:col>2</xdr:col>
      <xdr:colOff>7962900</xdr:colOff>
      <xdr:row>14</xdr:row>
      <xdr:rowOff>1638300</xdr:rowOff>
    </xdr:to>
    <xdr:sp macro="" textlink="">
      <xdr:nvSpPr>
        <xdr:cNvPr id="3" name="WEB_LINK_AHP153_INSTRUCTIONS">
          <a:hlinkClick xmlns:r="http://schemas.openxmlformats.org/officeDocument/2006/relationships" r:id="rId2"/>
          <a:extLst>
            <a:ext uri="{FF2B5EF4-FFF2-40B4-BE49-F238E27FC236}">
              <a16:creationId xmlns:a16="http://schemas.microsoft.com/office/drawing/2014/main" id="{B100A51C-6626-4F70-B530-34D34514C602}"/>
            </a:ext>
          </a:extLst>
        </xdr:cNvPr>
        <xdr:cNvSpPr/>
      </xdr:nvSpPr>
      <xdr:spPr>
        <a:xfrm>
          <a:off x="4857750" y="13877925"/>
          <a:ext cx="359092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1600203</xdr:colOff>
      <xdr:row>0</xdr:row>
      <xdr:rowOff>533401</xdr:rowOff>
    </xdr:to>
    <xdr:pic>
      <xdr:nvPicPr>
        <xdr:cNvPr id="2" name="Picture 1" descr="2015FHLBNY_Logo_1.75in.png">
          <a:extLst>
            <a:ext uri="{FF2B5EF4-FFF2-40B4-BE49-F238E27FC236}">
              <a16:creationId xmlns:a16="http://schemas.microsoft.com/office/drawing/2014/main" id="{576747AD-24F4-4A8F-B2CA-1035A662BF6B}"/>
            </a:ext>
          </a:extLst>
        </xdr:cNvPr>
        <xdr:cNvPicPr>
          <a:picLocks noChangeAspect="1"/>
        </xdr:cNvPicPr>
      </xdr:nvPicPr>
      <xdr:blipFill>
        <a:blip xmlns:r="http://schemas.openxmlformats.org/officeDocument/2006/relationships" r:embed="rId1" cstate="print"/>
        <a:stretch>
          <a:fillRect/>
        </a:stretch>
      </xdr:blipFill>
      <xdr:spPr>
        <a:xfrm>
          <a:off x="104775" y="0"/>
          <a:ext cx="1600203" cy="53340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1600203</xdr:colOff>
      <xdr:row>0</xdr:row>
      <xdr:rowOff>533401</xdr:rowOff>
    </xdr:to>
    <xdr:pic>
      <xdr:nvPicPr>
        <xdr:cNvPr id="2" name="Picture 1" descr="2015FHLBNY_Logo_1.75in.png">
          <a:extLst>
            <a:ext uri="{FF2B5EF4-FFF2-40B4-BE49-F238E27FC236}">
              <a16:creationId xmlns:a16="http://schemas.microsoft.com/office/drawing/2014/main" id="{8CF75020-5836-42C5-A7AD-36B63A8AB808}"/>
            </a:ext>
          </a:extLst>
        </xdr:cNvPr>
        <xdr:cNvPicPr>
          <a:picLocks noChangeAspect="1"/>
        </xdr:cNvPicPr>
      </xdr:nvPicPr>
      <xdr:blipFill>
        <a:blip xmlns:r="http://schemas.openxmlformats.org/officeDocument/2006/relationships" r:embed="rId1" cstate="print"/>
        <a:stretch>
          <a:fillRect/>
        </a:stretch>
      </xdr:blipFill>
      <xdr:spPr>
        <a:xfrm>
          <a:off x="180975" y="0"/>
          <a:ext cx="1600203" cy="53340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1600203</xdr:colOff>
      <xdr:row>0</xdr:row>
      <xdr:rowOff>533401</xdr:rowOff>
    </xdr:to>
    <xdr:pic>
      <xdr:nvPicPr>
        <xdr:cNvPr id="2" name="Picture 1" descr="2015FHLBNY_Logo_1.75in.png">
          <a:extLst>
            <a:ext uri="{FF2B5EF4-FFF2-40B4-BE49-F238E27FC236}">
              <a16:creationId xmlns:a16="http://schemas.microsoft.com/office/drawing/2014/main" id="{A539F421-94DB-4BAB-8EEB-1880521431E4}"/>
            </a:ext>
          </a:extLst>
        </xdr:cNvPr>
        <xdr:cNvPicPr>
          <a:picLocks noChangeAspect="1"/>
        </xdr:cNvPicPr>
      </xdr:nvPicPr>
      <xdr:blipFill>
        <a:blip xmlns:r="http://schemas.openxmlformats.org/officeDocument/2006/relationships" r:embed="rId1" cstate="print"/>
        <a:stretch>
          <a:fillRect/>
        </a:stretch>
      </xdr:blipFill>
      <xdr:spPr>
        <a:xfrm>
          <a:off x="180975" y="0"/>
          <a:ext cx="1600203" cy="53340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27C041C-BF69-4FFB-8C78-5ADFDC6BFBC7}" name="TBL_CONFIG" displayName="TBL_CONFIG" ref="A3:D7" totalsRowShown="0" headerRowDxfId="32" dataDxfId="31">
  <autoFilter ref="A3:D7" xr:uid="{35C98E0E-D9AF-4FD2-B5CB-FF13AEAC1C83}"/>
  <tableColumns count="4">
    <tableColumn id="1" xr3:uid="{476E9A7B-5970-472B-B687-D4F158C0E680}" name="CONFIG_VAR" dataDxfId="30"/>
    <tableColumn id="2" xr3:uid="{F4E8EC61-23FB-4B72-966F-397674CE2A9C}" name="CONFIG_DESC" dataDxfId="29"/>
    <tableColumn id="3" xr3:uid="{83F3A67F-1F5E-48FC-8E0A-6594031CFF48}" name="CONFIG_TYPE" dataDxfId="28"/>
    <tableColumn id="4" xr3:uid="{8AE9DD97-786B-4832-889C-5920CFF6D498}" name="CONFIG_VALUE" dataDxfId="27"/>
  </tableColumns>
  <tableStyleInfo name="TableStyleMedium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28D054E-C1DA-4AA8-B072-B4A6FAFC28B8}" name="TBL_LOOKUP_EVENTS" displayName="TBL_LOOKUP_EVENTS" ref="A2:J14" totalsRowShown="0" headerRowDxfId="26" dataDxfId="25">
  <autoFilter ref="A2:J14" xr:uid="{DEBBCF65-9BD9-4FF7-A14D-D59943B28E05}"/>
  <tableColumns count="10">
    <tableColumn id="1" xr3:uid="{DA4BF1C1-08BD-4F15-BDB7-5A539F2E1435}" name="EVENT_TYPE_CODE" dataDxfId="24"/>
    <tableColumn id="2" xr3:uid="{58711A16-5B6D-4779-BCDE-82297DE91411}" name="EVENT_TYPE_DESC" dataDxfId="23"/>
    <tableColumn id="3" xr3:uid="{494D69DA-4F57-4B33-8F43-127CC97E8F33}" name="QUAL_EVENT_NEXT_STEP" dataDxfId="22"/>
    <tableColumn id="10" xr3:uid="{7E4A8EDE-3B1B-4B7F-9631-0EAAF59C677E}" name="PROXY_REQUIRED_FLAG" dataDxfId="21"/>
    <tableColumn id="4" xr3:uid="{E75FAAFB-99E5-4719-A3D4-841F08FB2F91}" name="QUAL_EVENT_NEXT_STEP_TARGET" dataDxfId="20"/>
    <tableColumn id="5" xr3:uid="{AA5D9070-E1A6-4D40-B6DC-EF3C58D7C103}" name="QUAL_EVENT_SHORT_TEXT" dataDxfId="19"/>
    <tableColumn id="6" xr3:uid="{F91E2F09-DE4E-4333-AB5E-E56E4292CBEB}" name="LABEL_NETPROCEEDS_A" dataDxfId="18"/>
    <tableColumn id="7" xr3:uid="{A6F892CD-58C8-4DA3-82F5-0E8F5C18FF1F}" name="LABEL_NETPROCEEDS_B" dataDxfId="17"/>
    <tableColumn id="8" xr3:uid="{2F93F465-0538-468E-96DB-903BF4BA362E}" name="LABEL_NETPROCEEDS_C" dataDxfId="16"/>
    <tableColumn id="9" xr3:uid="{6EEB4601-771C-4068-B2BC-FE37C9D0D6EA}" name="LABEL_NETPROCEEDS_D" dataDxfId="15"/>
  </tableColumns>
  <tableStyleInfo name="TableStyleMedium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CA46A73-7442-42CE-84A3-229DA24DFAF8}" name="TBL_LOOKUP_PROGRAM_TYPE" displayName="TBL_LOOKUP_PROGRAM_TYPE" ref="L2:P5" totalsRowShown="0" headerRowDxfId="14" dataDxfId="13">
  <autoFilter ref="L2:P5" xr:uid="{7247FF87-FDE9-4F56-A8F3-F1AB0F30FCC3}"/>
  <tableColumns count="5">
    <tableColumn id="1" xr3:uid="{C0549DE5-4BB6-4B9F-B1F4-7CF69E473C79}" name="PROGRAM_TYPE_CODE" dataDxfId="12"/>
    <tableColumn id="2" xr3:uid="{11F58674-9437-4166-9797-11BACE0235AB}" name="PROGRAM_TYPE_DESC" dataDxfId="11"/>
    <tableColumn id="3" xr3:uid="{76C61946-1A8A-4FA6-844B-30A7F7A516A0}" name="LABEL_NAME" dataDxfId="10"/>
    <tableColumn id="4" xr3:uid="{3FE483AE-A9F9-4A25-8870-3B7A54F42943}" name="LABEL_NUMBER" dataDxfId="9"/>
    <tableColumn id="5" xr3:uid="{EE425CD8-65AD-4701-98A4-7C87AC202F14}" name="LABEL_ADDRESS" dataDxfId="8"/>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0C75225-CA58-4B3F-9742-8AA4CDDF06CE}" name="TBL_LOOKUP_NUM_UNITS" displayName="TBL_LOOKUP_NUM_UNITS" ref="R2:R6" totalsRowShown="0" headerRowDxfId="7" dataDxfId="6">
  <autoFilter ref="R2:R6" xr:uid="{AAE2A0F5-A739-447D-AA15-5199C2E10D85}"/>
  <tableColumns count="1">
    <tableColumn id="1" xr3:uid="{12E86A8B-E2E0-404B-95F1-A81019DB2AF6}" name="NUM_UNITS_DESC" dataDxfId="5"/>
  </tableColumns>
  <tableStyleInfo name="TableStyleMedium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47A4C33-71AD-4D7F-A184-DEF4B6E5E4EC}" name="Table5" displayName="Table5" ref="A3:C31" totalsRowShown="0" headerRowDxfId="4" dataDxfId="3">
  <autoFilter ref="A3:C31" xr:uid="{ED85441B-9D72-4C6A-BD8A-37261A4C651B}"/>
  <tableColumns count="3">
    <tableColumn id="1" xr3:uid="{353C51E5-5CBF-411F-85D1-BEE86467D4FE}" name="ATTR_ID" dataDxfId="2"/>
    <tableColumn id="2" xr3:uid="{5CE0DBF8-6D5A-4CBF-832B-A4B7B1ED3C8F}" name="ATTR_DESC" dataDxfId="1"/>
    <tableColumn id="3" xr3:uid="{96144353-31E4-4E0A-8674-93BF163CDADC}" name="ATTR_VAL" dataDxfId="0"/>
  </tableColumns>
  <tableStyleInfo name="TableStyleMedium3" showFirstColumn="0" showLastColumn="0" showRowStripes="1" showColumnStripes="0"/>
</table>
</file>

<file path=xl/theme/theme1.xml><?xml version="1.0" encoding="utf-8"?>
<a:theme xmlns:a="http://schemas.openxmlformats.org/drawingml/2006/main" name="Standard Bank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hudexchange.info/resource/2312/home-maximum-purchase-price-after-rehab-value/"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DCB9E-1D93-487A-B25B-2C5ADB402338}">
  <sheetPr>
    <pageSetUpPr fitToPage="1"/>
  </sheetPr>
  <dimension ref="A1:G23"/>
  <sheetViews>
    <sheetView showGridLines="0" showRowColHeaders="0" tabSelected="1" workbookViewId="0"/>
  </sheetViews>
  <sheetFormatPr defaultColWidth="0" defaultRowHeight="15" zeroHeight="1" x14ac:dyDescent="0.25"/>
  <cols>
    <col min="1" max="1" width="2.7109375" customWidth="1"/>
    <col min="2" max="2" width="4.5703125" customWidth="1"/>
    <col min="3" max="3" width="125.7109375" customWidth="1"/>
    <col min="4" max="4" width="2.7109375" customWidth="1"/>
    <col min="5" max="5" width="9.140625" hidden="1" customWidth="1"/>
    <col min="6" max="7" width="0" hidden="1" customWidth="1"/>
    <col min="8" max="16384" width="9.140625" hidden="1"/>
  </cols>
  <sheetData>
    <row r="1" spans="1:7" ht="44.25" customHeight="1" x14ac:dyDescent="0.25"/>
    <row r="2" spans="1:7" ht="21.75" customHeight="1" x14ac:dyDescent="0.25">
      <c r="A2" s="7"/>
      <c r="B2" s="8" t="s">
        <v>114</v>
      </c>
      <c r="C2" s="7"/>
      <c r="D2" s="14" t="str">
        <f>"Version "&amp;CONFIG_EFORM_VERSION_NO</f>
        <v>Version 3.1.0</v>
      </c>
      <c r="E2" s="9"/>
      <c r="F2" s="9"/>
      <c r="G2" s="9"/>
    </row>
    <row r="3" spans="1:7" ht="21" customHeight="1" x14ac:dyDescent="0.25">
      <c r="A3" s="10"/>
      <c r="B3" s="11" t="s">
        <v>115</v>
      </c>
      <c r="C3" s="10"/>
      <c r="D3" s="10"/>
    </row>
    <row r="4" spans="1:7" ht="9.9499999999999993" customHeight="1" x14ac:dyDescent="0.25"/>
    <row r="5" spans="1:7" ht="20.100000000000001" customHeight="1" x14ac:dyDescent="0.25">
      <c r="A5" s="35" t="s">
        <v>187</v>
      </c>
      <c r="B5" s="38" t="s">
        <v>116</v>
      </c>
      <c r="C5" s="38"/>
      <c r="D5" s="13"/>
    </row>
    <row r="6" spans="1:7" ht="258" customHeight="1" x14ac:dyDescent="0.25">
      <c r="A6" s="1"/>
      <c r="B6" s="36" t="s">
        <v>198</v>
      </c>
      <c r="C6" s="37"/>
      <c r="D6" s="1"/>
    </row>
    <row r="7" spans="1:7" ht="9.9499999999999993" customHeight="1" x14ac:dyDescent="0.25">
      <c r="A7" s="1"/>
      <c r="B7" s="1"/>
      <c r="C7" s="1"/>
      <c r="D7" s="1"/>
    </row>
    <row r="8" spans="1:7" ht="20.100000000000001" customHeight="1" x14ac:dyDescent="0.25">
      <c r="A8" s="35" t="s">
        <v>188</v>
      </c>
      <c r="B8" s="12" t="s">
        <v>117</v>
      </c>
      <c r="C8" s="12"/>
      <c r="D8" s="12"/>
    </row>
    <row r="9" spans="1:7" ht="133.5" customHeight="1" x14ac:dyDescent="0.25">
      <c r="A9" s="1"/>
      <c r="B9" s="36" t="s">
        <v>119</v>
      </c>
      <c r="C9" s="36"/>
      <c r="D9" s="1"/>
    </row>
    <row r="10" spans="1:7" ht="9.9499999999999993" customHeight="1" x14ac:dyDescent="0.25">
      <c r="A10" s="1"/>
      <c r="B10" s="1"/>
      <c r="C10" s="1"/>
      <c r="D10" s="1"/>
    </row>
    <row r="11" spans="1:7" ht="20.100000000000001" customHeight="1" x14ac:dyDescent="0.25">
      <c r="A11" s="35" t="s">
        <v>189</v>
      </c>
      <c r="B11" s="12" t="s">
        <v>118</v>
      </c>
      <c r="C11" s="12"/>
      <c r="D11" s="12"/>
    </row>
    <row r="12" spans="1:7" ht="383.25" customHeight="1" x14ac:dyDescent="0.25">
      <c r="A12" s="1"/>
      <c r="B12" s="36" t="s">
        <v>120</v>
      </c>
      <c r="C12" s="36"/>
      <c r="D12" s="1"/>
    </row>
    <row r="13" spans="1:7" ht="9.9499999999999993" customHeight="1" x14ac:dyDescent="0.25">
      <c r="A13" s="1"/>
      <c r="B13" s="1"/>
      <c r="C13" s="1"/>
      <c r="D13" s="1"/>
    </row>
    <row r="14" spans="1:7" ht="20.100000000000001" customHeight="1" x14ac:dyDescent="0.25">
      <c r="A14" s="35" t="s">
        <v>190</v>
      </c>
      <c r="B14" s="12" t="s">
        <v>121</v>
      </c>
      <c r="C14" s="12"/>
      <c r="D14" s="12"/>
    </row>
    <row r="15" spans="1:7" ht="229.5" customHeight="1" x14ac:dyDescent="0.25">
      <c r="A15" s="1"/>
      <c r="B15" s="36" t="s">
        <v>200</v>
      </c>
      <c r="C15" s="36"/>
      <c r="D15" s="1"/>
    </row>
    <row r="16" spans="1:7" ht="9.9499999999999993" customHeight="1" x14ac:dyDescent="0.25">
      <c r="A16" s="1"/>
      <c r="B16" s="1"/>
      <c r="C16" s="15"/>
      <c r="D16" s="1"/>
    </row>
    <row r="17" spans="1:4" hidden="1" x14ac:dyDescent="0.25">
      <c r="A17" s="1"/>
      <c r="B17" s="1"/>
      <c r="C17" s="1"/>
      <c r="D17" s="1"/>
    </row>
    <row r="18" spans="1:4" hidden="1" x14ac:dyDescent="0.25">
      <c r="A18" s="1"/>
      <c r="B18" s="1"/>
      <c r="C18" s="1"/>
      <c r="D18" s="1"/>
    </row>
    <row r="19" spans="1:4" hidden="1" x14ac:dyDescent="0.25">
      <c r="A19" s="1"/>
      <c r="B19" s="1"/>
      <c r="C19" s="1"/>
      <c r="D19" s="1"/>
    </row>
    <row r="20" spans="1:4" hidden="1" x14ac:dyDescent="0.25">
      <c r="A20" s="1"/>
      <c r="B20" s="1"/>
      <c r="C20" s="1"/>
      <c r="D20" s="1"/>
    </row>
    <row r="21" spans="1:4" hidden="1" x14ac:dyDescent="0.25">
      <c r="A21" s="1"/>
      <c r="B21" s="1"/>
      <c r="C21" s="1"/>
      <c r="D21" s="1"/>
    </row>
    <row r="22" spans="1:4" hidden="1" x14ac:dyDescent="0.25">
      <c r="A22" s="1"/>
      <c r="B22" s="1"/>
      <c r="C22" s="1"/>
      <c r="D22" s="1"/>
    </row>
    <row r="23" spans="1:4" hidden="1" x14ac:dyDescent="0.25">
      <c r="A23" s="1"/>
      <c r="B23" s="1"/>
      <c r="C23" s="1"/>
      <c r="D23" s="1"/>
    </row>
  </sheetData>
  <sheetProtection algorithmName="SHA-512" hashValue="gISHxf2CqTCmWVZo0ZPF5vVXJ7NI5npFy9GDEwM2Msy4cd/kS55Mumy4y7JiMZK38lZDcaITmnyR5wgXK5BKXg==" saltValue="5oHB5ko60a6lI3Nb7FWS7g==" spinCount="100000" sheet="1" objects="1" scenarios="1" selectLockedCells="1"/>
  <mergeCells count="5">
    <mergeCell ref="B6:C6"/>
    <mergeCell ref="B5:C5"/>
    <mergeCell ref="B9:C9"/>
    <mergeCell ref="B12:C12"/>
    <mergeCell ref="B15:C15"/>
  </mergeCells>
  <pageMargins left="0.7" right="0.7" top="0.75" bottom="0.75" header="0.3" footer="0.3"/>
  <pageSetup scale="61"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A4D20-498F-4D19-8871-DCF5266FDD88}">
  <sheetPr>
    <pageSetUpPr fitToPage="1"/>
  </sheetPr>
  <dimension ref="A1:H30"/>
  <sheetViews>
    <sheetView showGridLines="0" showRowColHeaders="0" workbookViewId="0">
      <selection activeCell="C6" sqref="C6:D6"/>
    </sheetView>
  </sheetViews>
  <sheetFormatPr defaultColWidth="0" defaultRowHeight="15" customHeight="1" zeroHeight="1" x14ac:dyDescent="0.25"/>
  <cols>
    <col min="1" max="1" width="2.7109375" customWidth="1"/>
    <col min="2" max="2" width="39.7109375" customWidth="1"/>
    <col min="3" max="3" width="45" customWidth="1"/>
    <col min="4" max="4" width="45.28515625" customWidth="1"/>
    <col min="5" max="5" width="2.7109375" customWidth="1"/>
    <col min="6" max="6" width="9.140625" hidden="1"/>
    <col min="9" max="16383" width="9.140625" hidden="1"/>
    <col min="16384" max="16384" width="9.140625" hidden="1" customWidth="1"/>
  </cols>
  <sheetData>
    <row r="1" spans="1:8" ht="44.25" customHeight="1" x14ac:dyDescent="0.25"/>
    <row r="2" spans="1:8" ht="21.75" customHeight="1" x14ac:dyDescent="0.25">
      <c r="A2" s="7"/>
      <c r="B2" s="8" t="s">
        <v>114</v>
      </c>
      <c r="C2" s="8"/>
      <c r="D2" s="7"/>
      <c r="E2" s="14" t="str">
        <f>"Version "&amp;CONFIG_EFORM_VERSION_NO</f>
        <v>Version 3.1.0</v>
      </c>
      <c r="F2" s="9"/>
      <c r="G2" s="9"/>
      <c r="H2" s="9"/>
    </row>
    <row r="3" spans="1:8" ht="21" customHeight="1" x14ac:dyDescent="0.25">
      <c r="A3" s="10"/>
      <c r="B3" s="11" t="s">
        <v>122</v>
      </c>
      <c r="C3" s="11"/>
      <c r="D3" s="10"/>
      <c r="E3" s="10"/>
    </row>
    <row r="4" spans="1:8" ht="9.9499999999999993" customHeight="1" x14ac:dyDescent="0.25"/>
    <row r="5" spans="1:8" ht="20.100000000000001" customHeight="1" x14ac:dyDescent="0.25">
      <c r="A5" s="16"/>
      <c r="B5" s="41" t="s">
        <v>123</v>
      </c>
      <c r="C5" s="41"/>
      <c r="D5" s="41"/>
      <c r="E5" s="18"/>
    </row>
    <row r="6" spans="1:8" s="19" customFormat="1" ht="20.100000000000001" customHeight="1" x14ac:dyDescent="0.25">
      <c r="A6" s="17"/>
      <c r="B6" s="20" t="s">
        <v>136</v>
      </c>
      <c r="C6" s="46"/>
      <c r="D6" s="47"/>
      <c r="E6" s="18"/>
    </row>
    <row r="7" spans="1:8" s="19" customFormat="1" ht="20.100000000000001" customHeight="1" x14ac:dyDescent="0.25">
      <c r="A7" s="17"/>
      <c r="B7" s="20" t="str">
        <f>ATTR_LABEL_PROJTYPE_NAME</f>
        <v>Select Program Above</v>
      </c>
      <c r="C7" s="46"/>
      <c r="D7" s="47"/>
      <c r="E7" s="18"/>
    </row>
    <row r="8" spans="1:8" s="19" customFormat="1" ht="20.100000000000001" customHeight="1" x14ac:dyDescent="0.25">
      <c r="A8" s="17"/>
      <c r="B8" s="20" t="str">
        <f>ATTR_LABEL_PROJTYPE_NUMBER</f>
        <v>Select Program Above</v>
      </c>
      <c r="C8" s="46"/>
      <c r="D8" s="47"/>
      <c r="E8" s="18"/>
    </row>
    <row r="9" spans="1:8" x14ac:dyDescent="0.25">
      <c r="A9" s="1"/>
      <c r="B9" s="1"/>
      <c r="C9" s="1"/>
      <c r="D9" s="1"/>
      <c r="E9" s="1"/>
    </row>
    <row r="10" spans="1:8" ht="20.100000000000001" customHeight="1" x14ac:dyDescent="0.25">
      <c r="A10" s="16"/>
      <c r="B10" s="41" t="s">
        <v>124</v>
      </c>
      <c r="C10" s="41"/>
      <c r="D10" s="41"/>
      <c r="E10" s="18"/>
    </row>
    <row r="11" spans="1:8" s="19" customFormat="1" ht="20.100000000000001" customHeight="1" x14ac:dyDescent="0.25">
      <c r="A11" s="17"/>
      <c r="B11" s="20" t="s">
        <v>125</v>
      </c>
      <c r="C11" s="46"/>
      <c r="D11" s="47"/>
      <c r="E11" s="18"/>
    </row>
    <row r="12" spans="1:8" s="19" customFormat="1" ht="20.100000000000001" customHeight="1" x14ac:dyDescent="0.25">
      <c r="A12" s="17"/>
      <c r="B12" s="20" t="s">
        <v>126</v>
      </c>
      <c r="C12" s="46"/>
      <c r="D12" s="47"/>
      <c r="E12" s="18"/>
    </row>
    <row r="13" spans="1:8" s="19" customFormat="1" ht="20.100000000000001" customHeight="1" x14ac:dyDescent="0.25">
      <c r="A13" s="17"/>
      <c r="B13" s="20" t="s">
        <v>127</v>
      </c>
      <c r="C13" s="46"/>
      <c r="D13" s="47"/>
      <c r="E13" s="18"/>
    </row>
    <row r="14" spans="1:8" s="19" customFormat="1" ht="20.100000000000001" customHeight="1" x14ac:dyDescent="0.25">
      <c r="A14" s="17"/>
      <c r="B14" s="20" t="s">
        <v>128</v>
      </c>
      <c r="C14" s="50"/>
      <c r="D14" s="51"/>
      <c r="E14" s="18"/>
    </row>
    <row r="15" spans="1:8" ht="15" customHeight="1" x14ac:dyDescent="0.25"/>
    <row r="16" spans="1:8" ht="20.100000000000001" customHeight="1" x14ac:dyDescent="0.25">
      <c r="A16" s="16"/>
      <c r="B16" s="41" t="str">
        <f>"3. "&amp;ATTR_LABEL_PROJTYPE_ADDRESS</f>
        <v>3. Project/Borrower Information</v>
      </c>
      <c r="C16" s="41"/>
      <c r="D16" s="41"/>
      <c r="E16" s="18"/>
    </row>
    <row r="17" spans="1:5" s="19" customFormat="1" ht="20.100000000000001" customHeight="1" x14ac:dyDescent="0.25">
      <c r="A17" s="17"/>
      <c r="B17" s="20" t="s">
        <v>129</v>
      </c>
      <c r="C17" s="46"/>
      <c r="D17" s="47"/>
      <c r="E17" s="18"/>
    </row>
    <row r="18" spans="1:5" s="19" customFormat="1" ht="20.100000000000001" customHeight="1" x14ac:dyDescent="0.25">
      <c r="A18" s="17"/>
      <c r="B18" s="20" t="s">
        <v>130</v>
      </c>
      <c r="C18" s="46"/>
      <c r="D18" s="47"/>
      <c r="E18" s="18"/>
    </row>
    <row r="19" spans="1:5" ht="15" customHeight="1" x14ac:dyDescent="0.25"/>
    <row r="20" spans="1:5" ht="20.100000000000001" customHeight="1" x14ac:dyDescent="0.25">
      <c r="A20" s="16"/>
      <c r="B20" s="41" t="s">
        <v>131</v>
      </c>
      <c r="C20" s="41"/>
      <c r="D20" s="41"/>
      <c r="E20" s="18"/>
    </row>
    <row r="21" spans="1:5" s="19" customFormat="1" ht="20.100000000000001" customHeight="1" x14ac:dyDescent="0.25">
      <c r="A21" s="17"/>
      <c r="B21" s="20" t="s">
        <v>132</v>
      </c>
      <c r="C21" s="48"/>
      <c r="D21" s="49"/>
      <c r="E21" s="18"/>
    </row>
    <row r="22" spans="1:5" s="19" customFormat="1" ht="20.100000000000001" customHeight="1" x14ac:dyDescent="0.25">
      <c r="A22" s="17"/>
      <c r="B22" s="20" t="s">
        <v>133</v>
      </c>
      <c r="C22" s="39"/>
      <c r="D22" s="40"/>
      <c r="E22" s="18"/>
    </row>
    <row r="23" spans="1:5" s="19" customFormat="1" ht="20.100000000000001" customHeight="1" x14ac:dyDescent="0.25">
      <c r="A23" s="17"/>
      <c r="B23" s="20" t="s">
        <v>134</v>
      </c>
      <c r="C23" s="39"/>
      <c r="D23" s="40"/>
      <c r="E23" s="18"/>
    </row>
    <row r="24" spans="1:5" ht="15" customHeight="1" x14ac:dyDescent="0.25"/>
    <row r="25" spans="1:5" ht="20.100000000000001" customHeight="1" x14ac:dyDescent="0.25">
      <c r="A25" s="16"/>
      <c r="B25" s="41" t="s">
        <v>135</v>
      </c>
      <c r="C25" s="41"/>
      <c r="D25" s="41"/>
      <c r="E25" s="18"/>
    </row>
    <row r="26" spans="1:5" s="19" customFormat="1" ht="27.75" customHeight="1" x14ac:dyDescent="0.25">
      <c r="A26" s="17"/>
      <c r="B26" s="20" t="s">
        <v>137</v>
      </c>
      <c r="C26" s="42"/>
      <c r="D26" s="43"/>
      <c r="E26" s="18"/>
    </row>
    <row r="27" spans="1:5" ht="20.100000000000001" customHeight="1" x14ac:dyDescent="0.25">
      <c r="B27" s="23" t="s">
        <v>138</v>
      </c>
      <c r="C27" s="44" t="str">
        <f>ATTR_QUALEVENT_NEXT_STEP</f>
        <v>Complete All Inputs on 'Qualifying Event' Tab</v>
      </c>
      <c r="D27" s="45"/>
    </row>
    <row r="28" spans="1:5" ht="15" customHeight="1" x14ac:dyDescent="0.25"/>
    <row r="29" spans="1:5" ht="27.75" customHeight="1" x14ac:dyDescent="0.25">
      <c r="D29" s="24" t="str">
        <f>IF(ATTR_QUALEVENT_NEXT_STEP_TARGET="","",
IF(RIGHT(ATTR_QUALEVENT_NEXT_STEP_TARGET,4)=".com",HYPERLINK("mailto:"&amp;ATTR_QUALEVENT_NEXT_STEP_TARGET&amp;"?subject=Recapture Request Form (AHP-153) - #"&amp;UI_PROJECT_HOUSEHOLD_ID&amp;" / "&amp;UI_PROJECT_HOUSEHOLD_NAME,"Email "&amp;ATTR_QUALEVENT_NEXT_STEP_TARGET),
HYPERLINK("#"&amp;ATTR_QUALEVENT_NEXT_STEP_TARGET&amp;"!TARGET_TOP","Go to "&amp;ATTR_QUALEVENT_NEXT_STEP_TARGET&amp;" Tab")))</f>
        <v/>
      </c>
    </row>
    <row r="30" spans="1:5" ht="15" customHeight="1" x14ac:dyDescent="0.25"/>
  </sheetData>
  <sheetProtection algorithmName="SHA-512" hashValue="qjc6Cil5qNSyNalR8wPRW/HVJ8Bb3fM4Gj614LU1nYNG4gEY5PV2ihxaRr3BajDCK9aJl79eLJV8nDaGWLJC7Q==" saltValue="zznmTWnVPfJqqYPL5os35Q==" spinCount="100000" sheet="1" objects="1" scenarios="1"/>
  <dataConsolidate/>
  <mergeCells count="19">
    <mergeCell ref="B5:D5"/>
    <mergeCell ref="C6:D6"/>
    <mergeCell ref="C21:D21"/>
    <mergeCell ref="C7:D7"/>
    <mergeCell ref="C8:D8"/>
    <mergeCell ref="B10:D10"/>
    <mergeCell ref="C11:D11"/>
    <mergeCell ref="C12:D12"/>
    <mergeCell ref="C13:D13"/>
    <mergeCell ref="C14:D14"/>
    <mergeCell ref="B16:D16"/>
    <mergeCell ref="C17:D17"/>
    <mergeCell ref="C18:D18"/>
    <mergeCell ref="B20:D20"/>
    <mergeCell ref="C22:D22"/>
    <mergeCell ref="C23:D23"/>
    <mergeCell ref="B25:D25"/>
    <mergeCell ref="C26:D26"/>
    <mergeCell ref="C27:D27"/>
  </mergeCells>
  <conditionalFormatting sqref="B7:B8">
    <cfRule type="containsText" dxfId="42" priority="3" operator="containsText" text="Select">
      <formula>NOT(ISERROR(SEARCH("Select",B7)))</formula>
    </cfRule>
  </conditionalFormatting>
  <conditionalFormatting sqref="D29">
    <cfRule type="containsBlanks" dxfId="41" priority="1">
      <formula>LEN(TRIM(D29))=0</formula>
    </cfRule>
    <cfRule type="expression" dxfId="40" priority="2">
      <formula>($B$8="")</formula>
    </cfRule>
  </conditionalFormatting>
  <dataValidations count="7">
    <dataValidation type="list" allowBlank="1" showInputMessage="1" showErrorMessage="1" error="Invalid Selection_x000a_" sqref="C6:D6" xr:uid="{AD4A657A-49A0-4F47-BEBC-EDD3A5DF9EF9}">
      <formula1>RANGE_LOOKUP_PROGRAM_TYPE_DESC</formula1>
    </dataValidation>
    <dataValidation type="whole" operator="greaterThan" allowBlank="1" showInputMessage="1" showErrorMessage="1" error="Invalid Value Entered_x000a_" sqref="C8:D8" xr:uid="{E2980865-C2AA-4A95-B65C-C3DD949CF428}">
      <formula1>0</formula1>
    </dataValidation>
    <dataValidation type="custom" allowBlank="1" showInputMessage="1" showErrorMessage="1" error="Must be a 10 digit number with no dashes or parentheses" prompt="Must be a 10 digit number with no dashes or parentheses" sqref="C14:D14" xr:uid="{616B6BA1-B7A2-4C0D-BAC9-E5C4669B7E7A}">
      <formula1>AND(ISNUMBER(UI_TELEPHONE_NUMBER),LEN(UI_TELEPHONE_NUMBER)=10)</formula1>
    </dataValidation>
    <dataValidation type="decimal" operator="greaterThan" allowBlank="1" showInputMessage="1" showErrorMessage="1" error="Invalid Amount Entered" sqref="C21:D21" xr:uid="{9F8174FE-5B6E-4627-BB4E-48B1CB666A8C}">
      <formula1>0</formula1>
    </dataValidation>
    <dataValidation type="custom" allowBlank="1" showInputMessage="1" showErrorMessage="1" error="Must be a valid date within 5 years prior to today's date" prompt="Must be a valid date within 5 years prior to today's date" sqref="C22:D22" xr:uid="{A1B5BD8E-8D27-422A-8210-D98173715393}">
      <formula1>AND((TODAY()-UI_ORIGINAL_LOAN_CLOSING_DATE)&lt;1827,UI_ORIGINAL_LOAN_CLOSING_DATE&lt;=TODAY())</formula1>
    </dataValidation>
    <dataValidation type="custom" allowBlank="1" showInputMessage="1" showErrorMessage="1" error="Must be a valid date within 5 years after the Original Loan Closing Date" prompt="Must be a valid date within 5 years after the Original Loan Closing Date" sqref="C23:D23" xr:uid="{C5A047E9-840F-41BF-A123-724439C70CA2}">
      <formula1>AND((UI_NONCOMPLIANCE_DATE-UI_ORIGINAL_LOAN_CLOSING_DATE)&lt;1827,UI_NONCOMPLIANCE_DATE&gt;=UI_ORIGINAL_LOAN_CLOSING_DATE)</formula1>
    </dataValidation>
    <dataValidation type="list" allowBlank="1" showInputMessage="1" showErrorMessage="1" error="Invalid Selection_x000a_" sqref="C26:D26" xr:uid="{F75C4F11-4173-44E6-BE46-31197A03A374}">
      <formula1>RANGE_LOOKUP_EVENT_TYPE_DESC</formula1>
    </dataValidation>
  </dataValidations>
  <pageMargins left="0.7" right="0.7" top="0.75" bottom="0.75" header="0.3" footer="0.3"/>
  <pageSetup scale="66"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01A45-6F76-4107-BFD1-00D4AE0231FA}">
  <sheetPr>
    <pageSetUpPr fitToPage="1"/>
  </sheetPr>
  <dimension ref="A1:G16"/>
  <sheetViews>
    <sheetView showGridLines="0" showRowColHeaders="0" zoomScaleNormal="100" workbookViewId="0"/>
  </sheetViews>
  <sheetFormatPr defaultColWidth="0" defaultRowHeight="15" customHeight="1" zeroHeight="1" x14ac:dyDescent="0.25"/>
  <cols>
    <col min="1" max="1" width="2.7109375" customWidth="1"/>
    <col min="2" max="2" width="39.7109375" customWidth="1"/>
    <col min="3" max="3" width="45" customWidth="1"/>
    <col min="4" max="4" width="45.28515625" customWidth="1"/>
    <col min="5" max="5" width="2.7109375" customWidth="1"/>
    <col min="6" max="7" width="0" hidden="1" customWidth="1"/>
    <col min="8" max="16384" width="9.140625" hidden="1"/>
  </cols>
  <sheetData>
    <row r="1" spans="1:7" ht="44.25" customHeight="1" x14ac:dyDescent="0.25"/>
    <row r="2" spans="1:7" ht="21.75" customHeight="1" x14ac:dyDescent="0.25">
      <c r="A2" s="7"/>
      <c r="B2" s="8" t="s">
        <v>114</v>
      </c>
      <c r="C2" s="7"/>
      <c r="D2" s="14" t="str">
        <f>"Version "&amp;CONFIG_EFORM_VERSION_NO</f>
        <v>Version 3.1.0</v>
      </c>
      <c r="E2" s="14"/>
      <c r="F2" s="9"/>
      <c r="G2" s="9"/>
    </row>
    <row r="3" spans="1:7" ht="21" customHeight="1" x14ac:dyDescent="0.25">
      <c r="A3" s="10"/>
      <c r="B3" s="11" t="s">
        <v>30</v>
      </c>
      <c r="C3" s="10"/>
      <c r="D3" s="10"/>
      <c r="E3" s="10"/>
    </row>
    <row r="4" spans="1:7" ht="9.9499999999999993" customHeight="1" x14ac:dyDescent="0.25"/>
    <row r="5" spans="1:7" ht="20.100000000000001" customHeight="1" x14ac:dyDescent="0.25">
      <c r="A5" s="34">
        <f>IF(ATTR_LABEL_PROXYTEST_HEADER_WARNING_FLG,1,"")</f>
        <v>1</v>
      </c>
      <c r="B5" s="41" t="str">
        <f>ATTR_LABEL_PROXYTEST_HEADER</f>
        <v>Please Complete Prior Steps to Determine if Proxy Test is Required</v>
      </c>
      <c r="C5" s="41"/>
      <c r="D5" s="41"/>
    </row>
    <row r="6" spans="1:7" ht="20.100000000000001" customHeight="1" x14ac:dyDescent="0.25">
      <c r="A6" s="1"/>
      <c r="B6" s="20" t="s">
        <v>141</v>
      </c>
      <c r="C6" s="54" t="s">
        <v>151</v>
      </c>
      <c r="D6" s="55"/>
    </row>
    <row r="7" spans="1:7" ht="20.100000000000001" customHeight="1" x14ac:dyDescent="0.25">
      <c r="A7" s="1"/>
      <c r="B7" s="20" t="s">
        <v>148</v>
      </c>
      <c r="C7" s="46"/>
      <c r="D7" s="47"/>
    </row>
    <row r="8" spans="1:7" ht="20.100000000000001" customHeight="1" x14ac:dyDescent="0.25">
      <c r="A8" s="1"/>
      <c r="B8" s="20" t="s">
        <v>54</v>
      </c>
      <c r="C8" s="48"/>
      <c r="D8" s="49"/>
    </row>
    <row r="9" spans="1:7" ht="20.100000000000001" customHeight="1" x14ac:dyDescent="0.25">
      <c r="A9" s="1"/>
      <c r="B9" s="20" t="s">
        <v>150</v>
      </c>
      <c r="C9" s="56" t="str">
        <f>IF(UI_NONCOMPLIANCE_DATE="","",UI_NONCOMPLIANCE_DATE)</f>
        <v/>
      </c>
      <c r="D9" s="56"/>
    </row>
    <row r="10" spans="1:7" ht="20.100000000000001" customHeight="1" x14ac:dyDescent="0.25">
      <c r="A10" s="1"/>
      <c r="B10" s="20" t="s">
        <v>193</v>
      </c>
      <c r="C10" s="39"/>
      <c r="D10" s="52"/>
    </row>
    <row r="11" spans="1:7" ht="20.100000000000001" customHeight="1" x14ac:dyDescent="0.25">
      <c r="A11" s="1"/>
      <c r="B11" s="20" t="s">
        <v>149</v>
      </c>
      <c r="C11" s="48"/>
      <c r="D11" s="49"/>
    </row>
    <row r="12" spans="1:7" ht="20.100000000000001" customHeight="1" x14ac:dyDescent="0.25">
      <c r="B12" s="20" t="s">
        <v>186</v>
      </c>
      <c r="C12" s="53" t="str">
        <f>IF(AND(UI_SALES_PRICE&lt;&gt;"",UI_HUD_VALUE_LIMIT&lt;&gt;""),UI_SALES_PRICE-UI_HUD_VALUE_LIMIT,"")</f>
        <v/>
      </c>
      <c r="D12" s="53"/>
    </row>
    <row r="13" spans="1:7" ht="20.100000000000001" customHeight="1" x14ac:dyDescent="0.25">
      <c r="B13" s="23" t="s">
        <v>138</v>
      </c>
      <c r="C13" s="44" t="str">
        <f>ATTR_PROXY_INPUT_NEXT_STEP</f>
        <v/>
      </c>
      <c r="D13" s="45"/>
    </row>
    <row r="14" spans="1:7" ht="15" customHeight="1" x14ac:dyDescent="0.25"/>
    <row r="15" spans="1:7" ht="25.7" customHeight="1" x14ac:dyDescent="0.25">
      <c r="D15" s="24" t="str">
        <f>IF(ATTR_PROXY_INPUT_NEXT_STEP_TARGET="","",
HYPERLINK("#"&amp;ATTR_PROXY_INPUT_NEXT_STEP_TARGET&amp;"!TARGET_TOP","Go to "&amp;ATTR_PROXY_INPUT_NEXT_STEP_TARGET&amp;" Tab"))</f>
        <v/>
      </c>
    </row>
    <row r="16" spans="1:7" ht="15" customHeight="1" x14ac:dyDescent="0.25"/>
  </sheetData>
  <sheetProtection algorithmName="SHA-512" hashValue="4todMxk5leUG8IXINmo0TyAjaMD40h8sRFL/kUCP1zSkhGEo0+DXw1/vKj9aJLalPHKGEpX6HF9l81JINuIN7g==" saltValue="CcetMisjrP7U8dUbLeaLbQ==" spinCount="100000" sheet="1" objects="1" scenarios="1"/>
  <mergeCells count="9">
    <mergeCell ref="C10:D10"/>
    <mergeCell ref="C11:D11"/>
    <mergeCell ref="C12:D12"/>
    <mergeCell ref="C13:D13"/>
    <mergeCell ref="B5:D5"/>
    <mergeCell ref="C6:D6"/>
    <mergeCell ref="C7:D7"/>
    <mergeCell ref="C8:D8"/>
    <mergeCell ref="C9:D9"/>
  </mergeCells>
  <conditionalFormatting sqref="B5">
    <cfRule type="expression" dxfId="39" priority="5">
      <formula>ATTR_LABEL_PROXYTEST_HEADER_WARNING_FLG</formula>
    </cfRule>
  </conditionalFormatting>
  <conditionalFormatting sqref="A5">
    <cfRule type="iconSet" priority="4">
      <iconSet iconSet="3Symbols2">
        <cfvo type="percent" val="0"/>
        <cfvo type="num" val="1"/>
        <cfvo type="num" val="2"/>
      </iconSet>
    </cfRule>
  </conditionalFormatting>
  <conditionalFormatting sqref="B6:D13">
    <cfRule type="expression" dxfId="38" priority="3">
      <formula>ATTR_LABEL_PROXYTEST_HEADER_WARNING_FLG</formula>
    </cfRule>
  </conditionalFormatting>
  <conditionalFormatting sqref="D15">
    <cfRule type="containsBlanks" dxfId="37" priority="1">
      <formula>LEN(TRIM(D15))=0</formula>
    </cfRule>
    <cfRule type="expression" dxfId="36" priority="2">
      <formula>($B$8="")</formula>
    </cfRule>
  </conditionalFormatting>
  <dataValidations count="4">
    <dataValidation type="decimal" operator="greaterThan" allowBlank="1" showInputMessage="1" showErrorMessage="1" error="Invalid Amount Entered" prompt="Sale price from most recent transaction" sqref="C8:D8" xr:uid="{1518B497-ABAE-43C4-8646-C08E9A83CA84}">
      <formula1>0</formula1>
    </dataValidation>
    <dataValidation type="list" allowBlank="1" showInputMessage="1" showErrorMessage="1" error="Invalid Selection" sqref="C7:D7" xr:uid="{768BB6D9-98D7-4907-BCBF-9DFA72B59495}">
      <formula1>RANGE_LOOKUP_NUM_UNITS_DESC</formula1>
    </dataValidation>
    <dataValidation type="date" operator="greaterThan" allowBlank="1" showInputMessage="1" showErrorMessage="1" error="Invalid Date Entered" sqref="C10:D10" xr:uid="{06BF7270-0AB2-461C-8CFD-8E25CBB83CB1}">
      <formula1>36526</formula1>
    </dataValidation>
    <dataValidation type="decimal" operator="greaterThan" allowBlank="1" showInputMessage="1" showErrorMessage="1" error="Invalid Amount Entered" sqref="C11:D11" xr:uid="{74B050D2-57EB-4905-9754-897C6CDF6E6E}">
      <formula1>0</formula1>
    </dataValidation>
  </dataValidations>
  <hyperlinks>
    <hyperlink ref="C6" r:id="rId1" xr:uid="{5A5092EC-0658-426C-9456-D0364F82486D}"/>
  </hyperlinks>
  <pageMargins left="0.7" right="0.7" top="0.75" bottom="0.75" header="0.3" footer="0.3"/>
  <pageSetup scale="66" orientation="portrait" horizontalDpi="0" verticalDpi="0"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01CC9-FCF6-415D-979B-673E6DCFC8A6}">
  <sheetPr>
    <pageSetUpPr fitToPage="1"/>
  </sheetPr>
  <dimension ref="A1:G51"/>
  <sheetViews>
    <sheetView showGridLines="0" showRowColHeaders="0" zoomScaleNormal="100" workbookViewId="0"/>
  </sheetViews>
  <sheetFormatPr defaultColWidth="0" defaultRowHeight="15" customHeight="1" zeroHeight="1" x14ac:dyDescent="0.25"/>
  <cols>
    <col min="1" max="1" width="2.7109375" customWidth="1"/>
    <col min="2" max="2" width="41.7109375" customWidth="1"/>
    <col min="3" max="3" width="43.85546875" customWidth="1"/>
    <col min="4" max="4" width="45.28515625" customWidth="1"/>
    <col min="5" max="5" width="2.7109375" customWidth="1"/>
    <col min="6" max="7" width="0" hidden="1" customWidth="1"/>
    <col min="8" max="16384" width="9.140625" hidden="1"/>
  </cols>
  <sheetData>
    <row r="1" spans="1:7" ht="44.25" customHeight="1" x14ac:dyDescent="0.25"/>
    <row r="2" spans="1:7" ht="21.75" customHeight="1" x14ac:dyDescent="0.25">
      <c r="A2" s="7"/>
      <c r="B2" s="8" t="s">
        <v>114</v>
      </c>
      <c r="C2" s="7"/>
      <c r="D2" s="14" t="str">
        <f>"Version "&amp;CONFIG_EFORM_VERSION_NO</f>
        <v>Version 3.1.0</v>
      </c>
      <c r="E2" s="14"/>
      <c r="F2" s="9"/>
      <c r="G2" s="9"/>
    </row>
    <row r="3" spans="1:7" ht="21" customHeight="1" x14ac:dyDescent="0.25">
      <c r="A3" s="10"/>
      <c r="B3" s="11" t="s">
        <v>31</v>
      </c>
      <c r="C3" s="10"/>
      <c r="D3" s="10"/>
      <c r="E3" s="10"/>
    </row>
    <row r="4" spans="1:7" ht="9.9499999999999993" customHeight="1" x14ac:dyDescent="0.25"/>
    <row r="5" spans="1:7" ht="20.100000000000001" customHeight="1" x14ac:dyDescent="0.25">
      <c r="A5" s="33">
        <f>IF(ATTR_LABEL_REPAYMENT_HEADER_WARNING_FLG,1,"")</f>
        <v>1</v>
      </c>
      <c r="B5" s="41" t="str">
        <f>ATTR_LABEL_REPAYMENT_HEADER</f>
        <v>Please Complete Prior Steps to Determine if Repayment Calculation is Required</v>
      </c>
      <c r="C5" s="41"/>
      <c r="D5" s="41"/>
    </row>
    <row r="6" spans="1:7" ht="20.100000000000001" customHeight="1" x14ac:dyDescent="0.25">
      <c r="A6" s="25"/>
      <c r="B6" s="26" t="s">
        <v>161</v>
      </c>
      <c r="C6" s="57" t="str">
        <f>ATTR_EVENT_TYPE_SHORT_TEXT</f>
        <v>Select Event Type (Qualifying Event Tab)</v>
      </c>
      <c r="D6" s="57"/>
    </row>
    <row r="7" spans="1:7" ht="15" customHeight="1" x14ac:dyDescent="0.25">
      <c r="A7" s="25"/>
      <c r="B7" s="25"/>
      <c r="C7" s="25"/>
      <c r="D7" s="25"/>
    </row>
    <row r="8" spans="1:7" ht="20.100000000000001" customHeight="1" x14ac:dyDescent="0.25">
      <c r="A8" s="25"/>
      <c r="B8" s="41" t="s">
        <v>162</v>
      </c>
      <c r="C8" s="41"/>
      <c r="D8" s="41"/>
    </row>
    <row r="9" spans="1:7" ht="20.100000000000001" customHeight="1" x14ac:dyDescent="0.25">
      <c r="A9" s="25"/>
      <c r="B9" s="26" t="s">
        <v>163</v>
      </c>
      <c r="C9" s="46"/>
      <c r="D9" s="47"/>
    </row>
    <row r="10" spans="1:7" ht="20.100000000000001" customHeight="1" x14ac:dyDescent="0.25">
      <c r="A10" s="25"/>
      <c r="B10" s="26" t="s">
        <v>129</v>
      </c>
      <c r="C10" s="57">
        <f>UI_PROPERTY_STREET_ADDRESS</f>
        <v>0</v>
      </c>
      <c r="D10" s="57"/>
    </row>
    <row r="11" spans="1:7" ht="20.100000000000001" customHeight="1" x14ac:dyDescent="0.25">
      <c r="A11" s="25"/>
      <c r="B11" s="26" t="s">
        <v>130</v>
      </c>
      <c r="C11" s="57">
        <f>UI_PROPERTY_CITY_STATE_ZIP</f>
        <v>0</v>
      </c>
      <c r="D11" s="57"/>
    </row>
    <row r="12" spans="1:7" ht="15" customHeight="1" x14ac:dyDescent="0.25">
      <c r="A12" s="25"/>
      <c r="B12" s="27"/>
      <c r="C12" s="27"/>
      <c r="D12" s="27"/>
    </row>
    <row r="13" spans="1:7" ht="20.100000000000001" customHeight="1" x14ac:dyDescent="0.25">
      <c r="A13" s="25"/>
      <c r="B13" s="41" t="s">
        <v>180</v>
      </c>
      <c r="C13" s="41"/>
      <c r="D13" s="41"/>
    </row>
    <row r="14" spans="1:7" ht="20.100000000000001" customHeight="1" x14ac:dyDescent="0.25">
      <c r="A14" s="25"/>
      <c r="B14" s="20" t="s">
        <v>164</v>
      </c>
      <c r="C14" s="53">
        <f>UI_AHP_SUBSIDY_AMOUNT_DISBURSED</f>
        <v>0</v>
      </c>
      <c r="D14" s="53"/>
    </row>
    <row r="15" spans="1:7" ht="20.100000000000001" customHeight="1" x14ac:dyDescent="0.25">
      <c r="A15" s="25"/>
      <c r="B15" s="20" t="s">
        <v>133</v>
      </c>
      <c r="C15" s="56">
        <f>UI_ORIGINAL_LOAN_CLOSING_DATE</f>
        <v>0</v>
      </c>
      <c r="D15" s="56"/>
    </row>
    <row r="16" spans="1:7" ht="20.100000000000001" customHeight="1" x14ac:dyDescent="0.25">
      <c r="A16" s="25"/>
      <c r="B16" s="20" t="s">
        <v>134</v>
      </c>
      <c r="C16" s="56">
        <f>UI_NONCOMPLIANCE_DATE</f>
        <v>0</v>
      </c>
      <c r="D16" s="56"/>
    </row>
    <row r="17" spans="1:4" ht="20.100000000000001" customHeight="1" x14ac:dyDescent="0.25">
      <c r="A17" s="25"/>
      <c r="B17" s="20" t="s">
        <v>165</v>
      </c>
      <c r="C17" s="53" t="str">
        <f>IF(AND(UI_AHP_SUBSIDY_AMOUNT_DISBURSED&lt;&gt;"",UI_ORIGINAL_LOAN_CLOSING_DATE&lt;&gt;"",UI_NONCOMPLIANCE_DATE&lt;&gt;""),
(UI_AHP_SUBSIDY_AMOUNT_DISBURSED/60)*(((YEAR(UI_NONCOMPLIANCE_DATE)-YEAR(UI_ORIGINAL_LOAN_CLOSING_DATE))*12)+MONTH(UI_NONCOMPLIANCE_DATE)-MONTH(UI_ORIGINAL_LOAN_CLOSING_DATE)),
"")</f>
        <v/>
      </c>
      <c r="D17" s="53"/>
    </row>
    <row r="18" spans="1:4" ht="20.100000000000001" customHeight="1" x14ac:dyDescent="0.25">
      <c r="A18" s="25"/>
      <c r="B18" s="23" t="s">
        <v>166</v>
      </c>
      <c r="C18" s="62" t="str">
        <f>IF(AND(UI_AHP_SUBSIDY_AMOUNT_DISBURSED&lt;&gt;"",UI_SUBSIDY_PRO_RATA_REDUCTION_CALC&lt;&gt;""),UI_AHP_SUBSIDY_AMOUNT_DISBURSED-UI_SUBSIDY_PRO_RATA_REDUCTION_CALC,"")</f>
        <v/>
      </c>
      <c r="D18" s="62"/>
    </row>
    <row r="19" spans="1:4" ht="15" customHeight="1" x14ac:dyDescent="0.25">
      <c r="A19" s="25"/>
      <c r="B19" s="27"/>
      <c r="C19" s="27"/>
      <c r="D19" s="27"/>
    </row>
    <row r="20" spans="1:4" ht="20.100000000000001" customHeight="1" x14ac:dyDescent="0.25">
      <c r="A20" s="25"/>
      <c r="B20" s="41" t="s">
        <v>181</v>
      </c>
      <c r="C20" s="41"/>
      <c r="D20" s="41"/>
    </row>
    <row r="21" spans="1:4" s="9" customFormat="1" ht="9.9499999999999993" customHeight="1" x14ac:dyDescent="0.25">
      <c r="A21" s="30"/>
      <c r="B21" s="31"/>
      <c r="C21" s="31"/>
      <c r="D21" s="31"/>
    </row>
    <row r="22" spans="1:4" ht="20.100000000000001" customHeight="1" x14ac:dyDescent="0.25">
      <c r="A22" s="25"/>
      <c r="B22" s="59" t="s">
        <v>168</v>
      </c>
      <c r="C22" s="60"/>
      <c r="D22" s="61"/>
    </row>
    <row r="23" spans="1:4" ht="20.100000000000001" customHeight="1" x14ac:dyDescent="0.25">
      <c r="A23" s="25"/>
      <c r="B23" s="20" t="str">
        <f>ATTR_LABEL_NETPROCEEDS_A</f>
        <v>Select Event Type</v>
      </c>
      <c r="C23" s="48"/>
      <c r="D23" s="49"/>
    </row>
    <row r="24" spans="1:4" ht="20.100000000000001" customHeight="1" x14ac:dyDescent="0.25">
      <c r="B24" s="20" t="s">
        <v>167</v>
      </c>
      <c r="C24" s="48"/>
      <c r="D24" s="49"/>
    </row>
    <row r="25" spans="1:4" ht="20.100000000000001" customHeight="1" x14ac:dyDescent="0.25">
      <c r="B25" s="28" t="str">
        <f>ATTR_LABEL_NETPROCEEDS_C</f>
        <v>Select Event Type</v>
      </c>
      <c r="C25" s="48"/>
      <c r="D25" s="49"/>
    </row>
    <row r="26" spans="1:4" ht="20.100000000000001" customHeight="1" x14ac:dyDescent="0.25">
      <c r="B26" s="28" t="str">
        <f>ATTR_LABEL_NETPROCEEDS_D</f>
        <v>Select Event Type</v>
      </c>
      <c r="C26" s="48"/>
      <c r="D26" s="49"/>
    </row>
    <row r="27" spans="1:4" ht="20.100000000000001" customHeight="1" x14ac:dyDescent="0.25">
      <c r="B27" s="28" t="s">
        <v>195</v>
      </c>
      <c r="C27" s="48"/>
      <c r="D27" s="49"/>
    </row>
    <row r="28" spans="1:4" ht="20.100000000000001" customHeight="1" x14ac:dyDescent="0.25">
      <c r="B28" s="20" t="s">
        <v>169</v>
      </c>
      <c r="C28" s="53" t="str">
        <f>IF(UI_NETPROCEEDS_CLOSING_COSTS="","",UI_NETPROCEEDS_CLOSING_COSTS-SUM(UI_NETPROCEEDS_PREPAIDS,UI_NETPROCEEDS_ESCROWS,UI_NETPROCEEDS_OTHERIECOSTS))</f>
        <v/>
      </c>
      <c r="D28" s="53"/>
    </row>
    <row r="29" spans="1:4" ht="20.100000000000001" customHeight="1" x14ac:dyDescent="0.25">
      <c r="B29" s="20" t="str">
        <f>ATTR_LABEL_NETPROCEEDS_B</f>
        <v>Select Event Type</v>
      </c>
      <c r="C29" s="63"/>
      <c r="D29" s="63"/>
    </row>
    <row r="30" spans="1:4" ht="20.100000000000001" customHeight="1" x14ac:dyDescent="0.25">
      <c r="B30" s="29" t="s">
        <v>168</v>
      </c>
      <c r="C30" s="58" t="str">
        <f>IF(AND(UI_NETPROCEEDS_SALES_PRICE&lt;&gt;"",UI_NETPROCEEDS_ELIGIBLE_CLOSING_COSTS&lt;&gt;"",UI_NETPROCEEDS_OUTSTANDING_DEBT&lt;&gt;""),UI_NETPROCEEDS_SALES_PRICE-UI_NETPROCEEDS_OUTSTANDING_DEBT-UI_NETPROCEEDS_ELIGIBLE_CLOSING_COSTS,"")</f>
        <v/>
      </c>
      <c r="D30" s="58"/>
    </row>
    <row r="31" spans="1:4" ht="9.9499999999999993" customHeight="1" x14ac:dyDescent="0.25"/>
    <row r="32" spans="1:4" ht="20.100000000000001" customHeight="1" x14ac:dyDescent="0.25">
      <c r="B32" s="59" t="s">
        <v>170</v>
      </c>
      <c r="C32" s="60"/>
      <c r="D32" s="61"/>
    </row>
    <row r="33" spans="2:4" ht="20.100000000000001" customHeight="1" x14ac:dyDescent="0.25">
      <c r="B33" s="20" t="s">
        <v>194</v>
      </c>
      <c r="C33" s="48"/>
      <c r="D33" s="49"/>
    </row>
    <row r="34" spans="2:4" ht="20.100000000000001" customHeight="1" x14ac:dyDescent="0.25">
      <c r="B34" s="28" t="s">
        <v>171</v>
      </c>
      <c r="C34" s="48"/>
      <c r="D34" s="49"/>
    </row>
    <row r="35" spans="2:4" ht="20.100000000000001" customHeight="1" x14ac:dyDescent="0.25">
      <c r="B35" s="28" t="s">
        <v>172</v>
      </c>
      <c r="C35" s="48"/>
      <c r="D35" s="49"/>
    </row>
    <row r="36" spans="2:4" ht="20.100000000000001" customHeight="1" x14ac:dyDescent="0.25">
      <c r="B36" s="28" t="s">
        <v>195</v>
      </c>
      <c r="C36" s="48"/>
      <c r="D36" s="49"/>
    </row>
    <row r="37" spans="2:4" ht="20.100000000000001" customHeight="1" x14ac:dyDescent="0.25">
      <c r="B37" s="20" t="s">
        <v>173</v>
      </c>
      <c r="C37" s="53" t="str">
        <f>IF(UI_HSEHLDINVEST_CLOSING_COSTS="","",UI_HSEHLDINVEST_CLOSING_COSTS-SUM(UI_HSEHLDINVEST_PREPAIDS,UI_HSEHLDINVEST_ESCROWS,UI_HSEHLDINVEST_OTHERIECOSTS))</f>
        <v/>
      </c>
      <c r="D37" s="53"/>
    </row>
    <row r="38" spans="2:4" ht="20.100000000000001" customHeight="1" x14ac:dyDescent="0.25">
      <c r="B38" s="20" t="s">
        <v>176</v>
      </c>
      <c r="C38" s="48"/>
      <c r="D38" s="49"/>
    </row>
    <row r="39" spans="2:4" ht="20.100000000000001" customHeight="1" x14ac:dyDescent="0.25">
      <c r="B39" s="20" t="s">
        <v>174</v>
      </c>
      <c r="C39" s="48"/>
      <c r="D39" s="49"/>
    </row>
    <row r="40" spans="2:4" ht="20.100000000000001" customHeight="1" x14ac:dyDescent="0.25">
      <c r="B40" s="20" t="s">
        <v>175</v>
      </c>
      <c r="C40" s="48"/>
      <c r="D40" s="49"/>
    </row>
    <row r="41" spans="2:4" ht="20.100000000000001" customHeight="1" x14ac:dyDescent="0.25">
      <c r="B41" s="29" t="s">
        <v>185</v>
      </c>
      <c r="C41" s="64" t="str">
        <f>IF(AND(UI_HSEHLDINVEST_ELIGIBLE_CLOSING_COSTS&lt;&gt;"",UI_HSEHLDINVEST_DOWNPAYMENT&lt;&gt;"",UI_HSEHLDINVEST_CAPITAL_IMPROVEMENTS&lt;&gt;"",UI_HSEHLDINVEST_TOTAL_PRIN_PAYMENTS&lt;&gt;""),SUM(UI_HSEHLDINVEST_ELIGIBLE_CLOSING_COSTS,UI_HSEHLDINVEST_DOWNPAYMENT,UI_HSEHLDINVEST_CAPITAL_IMPROVEMENTS,UI_HSEHLDINVEST_TOTAL_PRIN_PAYMENTS),"")</f>
        <v/>
      </c>
      <c r="D41" s="64"/>
    </row>
    <row r="42" spans="2:4" ht="9.9499999999999993" customHeight="1" x14ac:dyDescent="0.25"/>
    <row r="43" spans="2:4" ht="20.100000000000001" customHeight="1" x14ac:dyDescent="0.25">
      <c r="B43" s="59" t="s">
        <v>177</v>
      </c>
      <c r="C43" s="60"/>
      <c r="D43" s="61"/>
    </row>
    <row r="44" spans="2:4" ht="20.100000000000001" customHeight="1" x14ac:dyDescent="0.25">
      <c r="B44" s="29" t="s">
        <v>178</v>
      </c>
      <c r="C44" s="64" t="str">
        <f>IF(AND(UI_NETPROCEEDS_TOTAL&lt;&gt;"",UI_HSEHLDINVEST_TOTAL&lt;&gt;""),UI_NETPROCEEDS_TOTAL-UI_HSEHLDINVEST_TOTAL,"")</f>
        <v/>
      </c>
      <c r="D44" s="64"/>
    </row>
    <row r="45" spans="2:4" ht="9.9499999999999993" customHeight="1" x14ac:dyDescent="0.25"/>
    <row r="46" spans="2:4" ht="15" customHeight="1" x14ac:dyDescent="0.25">
      <c r="B46" s="32" t="s">
        <v>197</v>
      </c>
    </row>
    <row r="47" spans="2:4" ht="15" customHeight="1" x14ac:dyDescent="0.25">
      <c r="B47" s="32" t="s">
        <v>196</v>
      </c>
    </row>
    <row r="48" spans="2:4" ht="15" customHeight="1" x14ac:dyDescent="0.25"/>
    <row r="49" spans="1:4" ht="20.100000000000001" customHeight="1" x14ac:dyDescent="0.25">
      <c r="A49" s="25"/>
      <c r="B49" s="41" t="s">
        <v>179</v>
      </c>
      <c r="C49" s="41"/>
      <c r="D49" s="41"/>
    </row>
    <row r="50" spans="1:4" ht="20.100000000000001" customHeight="1" x14ac:dyDescent="0.25">
      <c r="B50" s="23" t="s">
        <v>182</v>
      </c>
      <c r="C50" s="44" t="str">
        <f>ATTR_REPAYMENT_INPUT_AMOUNT_TO_REPAY</f>
        <v/>
      </c>
      <c r="D50" s="45"/>
    </row>
    <row r="51" spans="1:4" ht="15" customHeight="1" x14ac:dyDescent="0.25"/>
  </sheetData>
  <sheetProtection algorithmName="SHA-512" hashValue="CJYecNbkSiNxqo/CZJkcuM+2m+nYP9IkJDFVYZnL9cGMiHNGfevXe2R5EdVaOKfzuR3oHthlNqixZhYMTr2cSA==" saltValue="IjdrxrMY8kFq2W5RTHfyPg==" spinCount="100000" sheet="1" objects="1" scenarios="1"/>
  <mergeCells count="36">
    <mergeCell ref="C50:D50"/>
    <mergeCell ref="C40:D40"/>
    <mergeCell ref="C41:D41"/>
    <mergeCell ref="B43:D43"/>
    <mergeCell ref="C44:D44"/>
    <mergeCell ref="B49:D49"/>
    <mergeCell ref="C35:D35"/>
    <mergeCell ref="C36:D36"/>
    <mergeCell ref="C37:D37"/>
    <mergeCell ref="C38:D38"/>
    <mergeCell ref="C39:D39"/>
    <mergeCell ref="C30:D30"/>
    <mergeCell ref="B32:D32"/>
    <mergeCell ref="C33:D33"/>
    <mergeCell ref="C34:D34"/>
    <mergeCell ref="C15:D15"/>
    <mergeCell ref="C17:D17"/>
    <mergeCell ref="C18:D18"/>
    <mergeCell ref="B20:D20"/>
    <mergeCell ref="B22:D22"/>
    <mergeCell ref="C27:D27"/>
    <mergeCell ref="C28:D28"/>
    <mergeCell ref="C29:D29"/>
    <mergeCell ref="C26:D26"/>
    <mergeCell ref="B5:D5"/>
    <mergeCell ref="C16:D16"/>
    <mergeCell ref="C23:D23"/>
    <mergeCell ref="C24:D24"/>
    <mergeCell ref="C25:D25"/>
    <mergeCell ref="C6:D6"/>
    <mergeCell ref="B8:D8"/>
    <mergeCell ref="C9:D9"/>
    <mergeCell ref="C10:D10"/>
    <mergeCell ref="C11:D11"/>
    <mergeCell ref="B13:D13"/>
    <mergeCell ref="C14:D14"/>
  </mergeCells>
  <conditionalFormatting sqref="B5">
    <cfRule type="expression" dxfId="35" priority="20">
      <formula>ATTR_LABEL_REPAYMENT_HEADER_WARNING_FLG</formula>
    </cfRule>
  </conditionalFormatting>
  <conditionalFormatting sqref="A5">
    <cfRule type="iconSet" priority="15">
      <iconSet iconSet="3Symbols2">
        <cfvo type="percent" val="0"/>
        <cfvo type="num" val="1"/>
        <cfvo type="num" val="2"/>
      </iconSet>
    </cfRule>
  </conditionalFormatting>
  <conditionalFormatting sqref="B6:D50">
    <cfRule type="expression" dxfId="34" priority="1" stopIfTrue="1">
      <formula>ATTR_LABEL_REPAYMENT_HEADER_WARNING_FLG</formula>
    </cfRule>
  </conditionalFormatting>
  <conditionalFormatting sqref="C23:D30 C33:D41 C44">
    <cfRule type="expression" dxfId="33" priority="13">
      <formula>AND(UI_SUBSIDY_PRO_RATA_REMAINING_CALC&lt;&gt;"",UI_SUBSIDY_PRO_RATA_REMAINING_CALC&lt;=2500)</formula>
    </cfRule>
  </conditionalFormatting>
  <dataValidations count="7">
    <dataValidation type="decimal" operator="greaterThanOrEqual" allowBlank="1" showInputMessage="1" showErrorMessage="1" error="Invalid Value_x000a_" sqref="C23:D23 C25:D27 C34:D36" xr:uid="{A2BA6EB5-AD9C-4E26-9DC9-8509541A3BCB}">
      <formula1>0</formula1>
    </dataValidation>
    <dataValidation type="decimal" operator="greaterThanOrEqual" allowBlank="1" showInputMessage="1" showErrorMessage="1" error="Invalid Value_x000a_" prompt="Documentation must be provided showing the reasonable and customary costs paid by the household in connection with the sale of the unit including real estate broker’s commission, attorney’s fees, and title search fees." sqref="C24:D24" xr:uid="{FBE43B2D-E231-430A-BF35-C2F3F71361D2}">
      <formula1>0</formula1>
    </dataValidation>
    <dataValidation allowBlank="1" showInputMessage="1" showErrorMessage="1" prompt="Purchase Transaction: Documentation must be provided showing the outstanding debt superior to the AHP subsidy lien _x000a__x000a_Refinance Transaction: Documentation must be provided showing the principal of refinanced mortgage." sqref="C29:D29" xr:uid="{A4674F56-EB93-4C54-8D27-D4973E600CC4}"/>
    <dataValidation type="decimal" operator="greaterThanOrEqual" allowBlank="1" showInputMessage="1" showErrorMessage="1" error="Invalid Value_x000a_" prompt="Documentation must be provided showing reasonable and customary costs paid by the household in connection with the purchase of the unit including real estate broker’s commission, attorney’s fees, and title search fees." sqref="C33:D33" xr:uid="{AAFBCAD2-116A-4937-AC9C-7850DAE4E40C}">
      <formula1>0</formula1>
    </dataValidation>
    <dataValidation type="decimal" operator="greaterThanOrEqual" allowBlank="1" showInputMessage="1" showErrorMessage="1" error="Invalid Value_x000a_" prompt="Documentation must be provided showing the original down payment made on the subject property." sqref="C38:D38" xr:uid="{8A442740-D6CB-487E-B8F5-4BD6996995CE}">
      <formula1>0</formula1>
    </dataValidation>
    <dataValidation type="decimal" operator="greaterThanOrEqual" allowBlank="1" showInputMessage="1" showErrorMessage="1" error="Invalid Value_x000a_" prompt="Documentation must be provided showing the cost of any capital improvements made after the household’s purchase of the unit until the time of the subsequent sale, transfer, assignment of title or deed, or refinancing." sqref="C39:D39" xr:uid="{6B5F1110-7A1A-435A-9A23-69F188291326}">
      <formula1>0</formula1>
    </dataValidation>
    <dataValidation type="decimal" operator="greaterThanOrEqual" allowBlank="1" showInputMessage="1" showErrorMessage="1" error="Invalid Value_x000a_" prompt="Documentation must be provided showing the amount of principal repaid by the household on any mortgage senior to the AHP subsidy lien." sqref="C40:D40" xr:uid="{AA5194AD-2CE6-4544-BF5E-81F82521EB5C}">
      <formula1>0</formula1>
    </dataValidation>
  </dataValidations>
  <pageMargins left="0.7" right="0.7" top="0.75" bottom="0.75" header="0.3" footer="0.3"/>
  <pageSetup scale="66" orientation="portrait" horizontalDpi="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sheetPr>
  <dimension ref="A1:D7"/>
  <sheetViews>
    <sheetView workbookViewId="0">
      <selection activeCell="C9" sqref="C9:D9"/>
    </sheetView>
  </sheetViews>
  <sheetFormatPr defaultRowHeight="12.75" x14ac:dyDescent="0.2"/>
  <cols>
    <col min="1" max="1" width="26.5703125" style="1" customWidth="1"/>
    <col min="2" max="2" width="26.28515625" style="1" bestFit="1" customWidth="1"/>
    <col min="3" max="3" width="15.42578125" style="1" customWidth="1"/>
    <col min="4" max="4" width="65.42578125" style="1" customWidth="1"/>
    <col min="5" max="16384" width="9.140625" style="1"/>
  </cols>
  <sheetData>
    <row r="1" spans="1:4" x14ac:dyDescent="0.2">
      <c r="A1" s="4" t="s">
        <v>0</v>
      </c>
    </row>
    <row r="3" spans="1:4" x14ac:dyDescent="0.2">
      <c r="A3" s="1" t="s">
        <v>1</v>
      </c>
      <c r="B3" s="1" t="s">
        <v>2</v>
      </c>
      <c r="C3" s="1" t="s">
        <v>3</v>
      </c>
      <c r="D3" s="1" t="s">
        <v>4</v>
      </c>
    </row>
    <row r="4" spans="1:4" x14ac:dyDescent="0.2">
      <c r="A4" s="1" t="s">
        <v>5</v>
      </c>
      <c r="B4" s="1" t="s">
        <v>7</v>
      </c>
      <c r="C4" s="1" t="s">
        <v>9</v>
      </c>
      <c r="D4" s="5">
        <v>44515</v>
      </c>
    </row>
    <row r="5" spans="1:4" x14ac:dyDescent="0.2">
      <c r="A5" s="1" t="s">
        <v>6</v>
      </c>
      <c r="B5" s="1" t="s">
        <v>8</v>
      </c>
      <c r="C5" s="1" t="s">
        <v>10</v>
      </c>
      <c r="D5" s="3" t="s">
        <v>11</v>
      </c>
    </row>
    <row r="6" spans="1:4" x14ac:dyDescent="0.2">
      <c r="A6" s="1" t="s">
        <v>12</v>
      </c>
      <c r="B6" s="1" t="s">
        <v>13</v>
      </c>
      <c r="C6" s="1" t="s">
        <v>10</v>
      </c>
      <c r="D6" s="3" t="str">
        <f>CONCATENATE(MONTH(CONFIG_EFORM_REVISION_DATE),"/",YEAR(CONFIG_EFORM_REVISION_DATE))</f>
        <v>11/2021</v>
      </c>
    </row>
    <row r="7" spans="1:4" x14ac:dyDescent="0.2">
      <c r="A7" s="1" t="s">
        <v>112</v>
      </c>
      <c r="B7" s="1" t="s">
        <v>113</v>
      </c>
      <c r="C7" s="1" t="s">
        <v>10</v>
      </c>
      <c r="D7" s="3" t="s">
        <v>199</v>
      </c>
    </row>
  </sheetData>
  <sheetProtection algorithmName="SHA-512" hashValue="J+na9gkSRFZdKmVjrKeuhVYiaznx3CE6YryA0AS1HGul01GpZbbtyYlUa/+uEAPh/4r1jTAhYhHcItc0gGhezA==" saltValue="1Mhimw1aAVm4L1EnYRlXoA==" spinCount="100000" sheet="1" objects="1" scenarios="1"/>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ACF87-3739-4488-8365-809B28881748}">
  <sheetPr>
    <tabColor rgb="FF7030A0"/>
  </sheetPr>
  <dimension ref="A1:R14"/>
  <sheetViews>
    <sheetView workbookViewId="0">
      <selection activeCell="C9" sqref="C9:D9"/>
    </sheetView>
  </sheetViews>
  <sheetFormatPr defaultRowHeight="12.75" x14ac:dyDescent="0.2"/>
  <cols>
    <col min="1" max="1" width="17.85546875" style="1" customWidth="1"/>
    <col min="2" max="2" width="42" style="1" customWidth="1"/>
    <col min="3" max="3" width="28.140625" style="1" bestFit="1" customWidth="1"/>
    <col min="4" max="4" width="24.140625" style="1" customWidth="1"/>
    <col min="5" max="5" width="22.7109375" style="1" customWidth="1"/>
    <col min="6" max="6" width="22.140625" style="1" customWidth="1"/>
    <col min="7" max="8" width="14.5703125" style="1" customWidth="1"/>
    <col min="9" max="9" width="16.5703125" style="1" customWidth="1"/>
    <col min="10" max="10" width="14.85546875" style="1" customWidth="1"/>
    <col min="11" max="11" width="9.140625" style="1"/>
    <col min="12" max="12" width="28.42578125" style="1" bestFit="1" customWidth="1"/>
    <col min="13" max="13" width="29.42578125" style="1" customWidth="1"/>
    <col min="14" max="14" width="16.85546875" style="1" bestFit="1" customWidth="1"/>
    <col min="15" max="15" width="15.7109375" style="1" bestFit="1" customWidth="1"/>
    <col min="16" max="16" width="18.42578125" style="1" bestFit="1" customWidth="1"/>
    <col min="17" max="17" width="9.140625" style="1"/>
    <col min="18" max="18" width="17.28515625" style="1" customWidth="1"/>
    <col min="19" max="16384" width="9.140625" style="1"/>
  </cols>
  <sheetData>
    <row r="1" spans="1:18" x14ac:dyDescent="0.2">
      <c r="A1" s="4" t="s">
        <v>34</v>
      </c>
      <c r="L1" s="4" t="s">
        <v>49</v>
      </c>
      <c r="R1" s="4" t="s">
        <v>142</v>
      </c>
    </row>
    <row r="2" spans="1:18" x14ac:dyDescent="0.2">
      <c r="A2" s="3" t="s">
        <v>28</v>
      </c>
      <c r="B2" s="1" t="s">
        <v>22</v>
      </c>
      <c r="C2" s="1" t="s">
        <v>23</v>
      </c>
      <c r="D2" s="1" t="s">
        <v>65</v>
      </c>
      <c r="E2" s="1" t="s">
        <v>93</v>
      </c>
      <c r="F2" s="1" t="s">
        <v>24</v>
      </c>
      <c r="G2" s="1" t="s">
        <v>53</v>
      </c>
      <c r="H2" s="1" t="s">
        <v>56</v>
      </c>
      <c r="I2" s="1" t="s">
        <v>59</v>
      </c>
      <c r="J2" s="1" t="s">
        <v>60</v>
      </c>
      <c r="L2" s="1" t="s">
        <v>35</v>
      </c>
      <c r="M2" s="1" t="s">
        <v>36</v>
      </c>
      <c r="N2" s="1" t="s">
        <v>37</v>
      </c>
      <c r="O2" s="1" t="s">
        <v>38</v>
      </c>
      <c r="P2" s="1" t="s">
        <v>50</v>
      </c>
      <c r="R2" s="1" t="s">
        <v>143</v>
      </c>
    </row>
    <row r="3" spans="1:18" x14ac:dyDescent="0.2">
      <c r="A3" s="2">
        <v>1</v>
      </c>
      <c r="B3" s="1" t="s">
        <v>14</v>
      </c>
      <c r="C3" s="1" t="s">
        <v>25</v>
      </c>
      <c r="D3" s="1" t="b">
        <v>1</v>
      </c>
      <c r="E3" s="1" t="s">
        <v>30</v>
      </c>
      <c r="F3" s="1" t="s">
        <v>32</v>
      </c>
      <c r="G3" s="1" t="s">
        <v>54</v>
      </c>
      <c r="H3" s="1" t="s">
        <v>57</v>
      </c>
      <c r="I3" s="1" t="s">
        <v>61</v>
      </c>
      <c r="J3" s="1" t="s">
        <v>63</v>
      </c>
      <c r="L3" s="1" t="s">
        <v>39</v>
      </c>
      <c r="M3" s="1" t="s">
        <v>42</v>
      </c>
      <c r="N3" s="1" t="s">
        <v>45</v>
      </c>
      <c r="O3" s="1" t="s">
        <v>46</v>
      </c>
      <c r="P3" s="1" t="s">
        <v>52</v>
      </c>
      <c r="R3" s="1" t="s">
        <v>144</v>
      </c>
    </row>
    <row r="4" spans="1:18" x14ac:dyDescent="0.2">
      <c r="A4" s="2">
        <v>2</v>
      </c>
      <c r="B4" s="1" t="s">
        <v>15</v>
      </c>
      <c r="C4" s="1" t="s">
        <v>26</v>
      </c>
      <c r="D4" s="1" t="b">
        <v>0</v>
      </c>
      <c r="E4" s="1" t="s">
        <v>31</v>
      </c>
      <c r="F4" s="1" t="s">
        <v>33</v>
      </c>
      <c r="G4" s="1" t="s">
        <v>55</v>
      </c>
      <c r="H4" s="1" t="s">
        <v>58</v>
      </c>
      <c r="I4" s="1" t="s">
        <v>62</v>
      </c>
      <c r="J4" s="1" t="s">
        <v>64</v>
      </c>
      <c r="L4" s="1" t="s">
        <v>40</v>
      </c>
      <c r="M4" s="1" t="s">
        <v>43</v>
      </c>
      <c r="N4" s="1" t="s">
        <v>47</v>
      </c>
      <c r="O4" s="1" t="s">
        <v>48</v>
      </c>
      <c r="P4" s="1" t="s">
        <v>51</v>
      </c>
      <c r="R4" s="1" t="s">
        <v>145</v>
      </c>
    </row>
    <row r="5" spans="1:18" x14ac:dyDescent="0.2">
      <c r="A5" s="2">
        <v>3</v>
      </c>
      <c r="B5" s="1" t="s">
        <v>16</v>
      </c>
      <c r="C5" s="1" t="s">
        <v>27</v>
      </c>
      <c r="D5" s="1" t="b">
        <v>0</v>
      </c>
      <c r="L5" s="1" t="s">
        <v>41</v>
      </c>
      <c r="M5" s="1" t="s">
        <v>44</v>
      </c>
      <c r="N5" s="1" t="s">
        <v>47</v>
      </c>
      <c r="O5" s="1" t="s">
        <v>48</v>
      </c>
      <c r="P5" s="1" t="s">
        <v>51</v>
      </c>
      <c r="R5" s="1" t="s">
        <v>146</v>
      </c>
    </row>
    <row r="6" spans="1:18" x14ac:dyDescent="0.2">
      <c r="A6" s="2">
        <v>4</v>
      </c>
      <c r="B6" s="1" t="s">
        <v>17</v>
      </c>
      <c r="C6" s="1" t="s">
        <v>27</v>
      </c>
      <c r="D6" s="1" t="b">
        <v>0</v>
      </c>
      <c r="R6" s="1" t="s">
        <v>147</v>
      </c>
    </row>
    <row r="7" spans="1:18" x14ac:dyDescent="0.2">
      <c r="A7" s="2">
        <v>5</v>
      </c>
      <c r="B7" s="1" t="s">
        <v>18</v>
      </c>
      <c r="C7" s="1" t="s">
        <v>27</v>
      </c>
      <c r="D7" s="1" t="b">
        <v>0</v>
      </c>
    </row>
    <row r="8" spans="1:18" x14ac:dyDescent="0.2">
      <c r="A8" s="2">
        <v>6</v>
      </c>
      <c r="B8" s="1" t="s">
        <v>19</v>
      </c>
      <c r="C8" s="1" t="s">
        <v>27</v>
      </c>
      <c r="D8" s="1" t="b">
        <v>0</v>
      </c>
    </row>
    <row r="9" spans="1:18" x14ac:dyDescent="0.2">
      <c r="A9" s="2">
        <v>7</v>
      </c>
      <c r="B9" s="1" t="s">
        <v>191</v>
      </c>
      <c r="C9" s="1" t="s">
        <v>27</v>
      </c>
      <c r="D9" s="1" t="b">
        <v>0</v>
      </c>
    </row>
    <row r="10" spans="1:18" x14ac:dyDescent="0.2">
      <c r="A10" s="2">
        <v>8</v>
      </c>
      <c r="B10" s="1" t="s">
        <v>20</v>
      </c>
      <c r="C10" s="1" t="s">
        <v>27</v>
      </c>
      <c r="D10" s="1" t="b">
        <v>0</v>
      </c>
    </row>
    <row r="11" spans="1:18" x14ac:dyDescent="0.2">
      <c r="A11" s="2">
        <v>9</v>
      </c>
      <c r="B11" s="1" t="s">
        <v>139</v>
      </c>
      <c r="C11" s="1" t="s">
        <v>27</v>
      </c>
      <c r="D11" s="1" t="b">
        <v>0</v>
      </c>
    </row>
    <row r="12" spans="1:18" x14ac:dyDescent="0.2">
      <c r="A12" s="2">
        <v>10</v>
      </c>
      <c r="B12" s="1" t="s">
        <v>140</v>
      </c>
      <c r="C12" s="1" t="s">
        <v>29</v>
      </c>
      <c r="D12" s="1" t="b">
        <v>0</v>
      </c>
      <c r="E12" s="1" t="str">
        <f>IF(ATTR_PROGRAM_TYPE_SELECTED_DESC=$M$3,"AHP","HDP")&amp;"@FHLBNY.com"</f>
        <v>HDP@FHLBNY.com</v>
      </c>
    </row>
    <row r="13" spans="1:18" x14ac:dyDescent="0.2">
      <c r="A13" s="2">
        <v>11</v>
      </c>
      <c r="B13" s="1" t="s">
        <v>192</v>
      </c>
      <c r="C13" s="1" t="s">
        <v>26</v>
      </c>
      <c r="D13" s="1" t="b">
        <v>0</v>
      </c>
      <c r="E13" s="1" t="s">
        <v>31</v>
      </c>
      <c r="F13" s="1" t="s">
        <v>32</v>
      </c>
      <c r="G13" s="1" t="s">
        <v>54</v>
      </c>
      <c r="H13" s="1" t="s">
        <v>57</v>
      </c>
      <c r="I13" s="1" t="s">
        <v>61</v>
      </c>
      <c r="J13" s="1" t="s">
        <v>63</v>
      </c>
    </row>
    <row r="14" spans="1:18" x14ac:dyDescent="0.2">
      <c r="A14" s="2">
        <v>12</v>
      </c>
      <c r="B14" s="1" t="s">
        <v>21</v>
      </c>
      <c r="C14" s="1" t="s">
        <v>29</v>
      </c>
      <c r="D14" s="1" t="b">
        <v>0</v>
      </c>
      <c r="E14" s="1" t="str">
        <f>IF(ATTR_PROGRAM_TYPE_SELECTED_DESC=$M$3,"AHP","HDP")&amp;"@FHLBNY.com"</f>
        <v>HDP@FHLBNY.com</v>
      </c>
    </row>
  </sheetData>
  <sheetProtection algorithmName="SHA-512" hashValue="IobE6ygpMz4r5tKzqUrrjt8+V7KSE2Fu5w7w/RsxSgWIQDoneIckyqlrOQLHMpbAjLKq/MhHd6Rih73Tb5yv0Q==" saltValue="arOw394a0Pjzsh824LZj6Q==" spinCount="100000" sheet="1" objects="1" scenarios="1"/>
  <pageMargins left="0.7" right="0.7" top="0.75" bottom="0.75" header="0.3" footer="0.3"/>
  <pageSetup orientation="portrait" horizontalDpi="0" verticalDpi="0"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553BA-8B27-4210-ABA2-CBF6F7C304D6}">
  <sheetPr>
    <tabColor rgb="FF7030A0"/>
  </sheetPr>
  <dimension ref="A1:C31"/>
  <sheetViews>
    <sheetView workbookViewId="0">
      <selection activeCell="C9" sqref="C9:D9"/>
    </sheetView>
  </sheetViews>
  <sheetFormatPr defaultRowHeight="15" x14ac:dyDescent="0.25"/>
  <cols>
    <col min="1" max="1" width="33.7109375" customWidth="1"/>
    <col min="2" max="2" width="97.5703125" customWidth="1"/>
    <col min="3" max="3" width="48.28515625" customWidth="1"/>
    <col min="4" max="4" width="41.5703125" customWidth="1"/>
    <col min="5" max="5" width="10.140625" bestFit="1" customWidth="1"/>
  </cols>
  <sheetData>
    <row r="1" spans="1:3" x14ac:dyDescent="0.25">
      <c r="A1" s="4" t="s">
        <v>66</v>
      </c>
      <c r="C1" s="6"/>
    </row>
    <row r="3" spans="1:3" x14ac:dyDescent="0.25">
      <c r="A3" s="1" t="s">
        <v>67</v>
      </c>
      <c r="B3" s="1" t="s">
        <v>68</v>
      </c>
      <c r="C3" s="1" t="s">
        <v>69</v>
      </c>
    </row>
    <row r="4" spans="1:3" x14ac:dyDescent="0.25">
      <c r="A4" s="1" t="s">
        <v>74</v>
      </c>
      <c r="B4" s="1" t="s">
        <v>83</v>
      </c>
      <c r="C4" s="21" t="str">
        <f>TEXT(UI_EVENT_TYPE,"")</f>
        <v/>
      </c>
    </row>
    <row r="5" spans="1:3" x14ac:dyDescent="0.25">
      <c r="A5" s="1" t="s">
        <v>81</v>
      </c>
      <c r="B5" s="1" t="s">
        <v>82</v>
      </c>
      <c r="C5" s="21" t="str">
        <f>IF(ATTR_EVENT_TYPE_SELECTED_DESC="","Select Event Type (Qualifying Event Tab)",TEXT(INDEX(TBL_LOOKUP_EVENTS[QUAL_EVENT_SHORT_TEXT],MATCH(ATTR_EVENT_TYPE_SELECTED_DESC,TBL_LOOKUP_EVENTS[EVENT_TYPE_DESC],0)),""))</f>
        <v>Select Event Type (Qualifying Event Tab)</v>
      </c>
    </row>
    <row r="6" spans="1:3" x14ac:dyDescent="0.25">
      <c r="A6" s="1" t="s">
        <v>78</v>
      </c>
      <c r="B6" s="1" t="s">
        <v>84</v>
      </c>
      <c r="C6" s="21" t="str">
        <f>TEXT(UI_PROGRAM_TYPE,"")</f>
        <v/>
      </c>
    </row>
    <row r="7" spans="1:3" x14ac:dyDescent="0.25">
      <c r="A7" s="1" t="s">
        <v>75</v>
      </c>
      <c r="B7" s="1" t="s">
        <v>85</v>
      </c>
      <c r="C7" s="21" t="str">
        <f>IF(ATTR_PROGRAM_TYPE_SELECTED_DESC="","Select Program Above",
INDEX(TBL_LOOKUP_PROGRAM_TYPE[LABEL_NAME],MATCH(ATTR_PROGRAM_TYPE_SELECTED_DESC,TBL_LOOKUP_PROGRAM_TYPE[PROGRAM_TYPE_DESC],0)))</f>
        <v>Select Program Above</v>
      </c>
    </row>
    <row r="8" spans="1:3" x14ac:dyDescent="0.25">
      <c r="A8" s="1" t="s">
        <v>76</v>
      </c>
      <c r="B8" s="1" t="s">
        <v>86</v>
      </c>
      <c r="C8" s="21" t="str">
        <f>IF(ATTR_PROGRAM_TYPE_SELECTED_DESC="","Select Program Above",
INDEX(TBL_LOOKUP_PROGRAM_TYPE[LABEL_NUMBER],MATCH(ATTR_PROGRAM_TYPE_SELECTED_DESC,TBL_LOOKUP_PROGRAM_TYPE[PROGRAM_TYPE_DESC],0)))</f>
        <v>Select Program Above</v>
      </c>
    </row>
    <row r="9" spans="1:3" x14ac:dyDescent="0.25">
      <c r="A9" s="1" t="s">
        <v>77</v>
      </c>
      <c r="B9" s="1" t="s">
        <v>87</v>
      </c>
      <c r="C9" s="21" t="str">
        <f>IF(ATTR_PROGRAM_TYPE_SELECTED_DESC="","Project/Borrower Information",
INDEX(TBL_LOOKUP_PROGRAM_TYPE[LABEL_ADDRESS],MATCH(ATTR_PROGRAM_TYPE_SELECTED_DESC,TBL_LOOKUP_PROGRAM_TYPE[PROGRAM_TYPE_DESC],0)))</f>
        <v>Project/Borrower Information</v>
      </c>
    </row>
    <row r="10" spans="1:3" x14ac:dyDescent="0.25">
      <c r="A10" s="1" t="s">
        <v>53</v>
      </c>
      <c r="B10" s="1" t="s">
        <v>88</v>
      </c>
      <c r="C10" s="22" t="str">
        <f>IF(ATTR_EVENT_TYPE_SELECTED_DESC="","Select Event Type",TEXT(INDEX(TBL_LOOKUP_EVENTS[LABEL_NETPROCEEDS_A],MATCH(ATTR_EVENT_TYPE_SELECTED_DESC,TBL_LOOKUP_EVENTS[EVENT_TYPE_DESC],0)),""))</f>
        <v>Select Event Type</v>
      </c>
    </row>
    <row r="11" spans="1:3" x14ac:dyDescent="0.25">
      <c r="A11" s="1" t="s">
        <v>56</v>
      </c>
      <c r="B11" s="1" t="s">
        <v>89</v>
      </c>
      <c r="C11" s="22" t="str">
        <f>IF(ATTR_EVENT_TYPE_SELECTED_DESC="","Select Event Type",TEXT(INDEX(TBL_LOOKUP_EVENTS[LABEL_NETPROCEEDS_B],MATCH(ATTR_EVENT_TYPE_SELECTED_DESC,TBL_LOOKUP_EVENTS[EVENT_TYPE_DESC],0)),""))</f>
        <v>Select Event Type</v>
      </c>
    </row>
    <row r="12" spans="1:3" x14ac:dyDescent="0.25">
      <c r="A12" s="1" t="s">
        <v>59</v>
      </c>
      <c r="B12" s="1" t="s">
        <v>90</v>
      </c>
      <c r="C12" s="22" t="str">
        <f>IF(ATTR_EVENT_TYPE_SELECTED_DESC="","Select Event Type",TEXT(INDEX(TBL_LOOKUP_EVENTS[LABEL_NETPROCEEDS_C],MATCH(ATTR_EVENT_TYPE_SELECTED_DESC,TBL_LOOKUP_EVENTS[EVENT_TYPE_DESC],0)),""))</f>
        <v>Select Event Type</v>
      </c>
    </row>
    <row r="13" spans="1:3" x14ac:dyDescent="0.25">
      <c r="A13" s="1" t="s">
        <v>60</v>
      </c>
      <c r="B13" s="1" t="s">
        <v>91</v>
      </c>
      <c r="C13" s="22" t="str">
        <f>IF(ATTR_EVENT_TYPE_SELECTED_DESC="","Select Event Type",TEXT(INDEX(TBL_LOOKUP_EVENTS[LABEL_NETPROCEEDS_D],MATCH(ATTR_EVENT_TYPE_SELECTED_DESC,TBL_LOOKUP_EVENTS[EVENT_TYPE_DESC],0)),""))</f>
        <v>Select Event Type</v>
      </c>
    </row>
    <row r="14" spans="1:3" x14ac:dyDescent="0.25">
      <c r="A14" s="1" t="s">
        <v>102</v>
      </c>
      <c r="B14" s="1" t="s">
        <v>103</v>
      </c>
      <c r="C14" s="22" t="b">
        <f>AND(UI_PROGRAM_TYPE&lt;&gt;"",UI_PROJECT_HOUSEHOLD_NAME&lt;&gt;"",UI_PROJECT_HOUSEHOLD_ID&lt;&gt;"",UI_MEMBER_NAME&lt;&gt;"",UI_PREPARED_BY&lt;&gt;"",UI_EMAIL_ADDRESS&lt;&gt;"",UI_TELEPHONE_NUMBER&lt;&gt;"",UI_PROPERTY_STREET_ADDRESS&lt;&gt;"",UI_PROPERTY_CITY_STATE_ZIP&lt;&gt;"",UI_AHP_SUBSIDY_AMOUNT_DISBURSED&lt;&gt;"",UI_ORIGINAL_LOAN_CLOSING_DATE&lt;&gt;"",UI_NONCOMPLIANCE_DATE&lt;&gt;"",UI_EVENT_TYPE&lt;&gt;"")</f>
        <v>0</v>
      </c>
    </row>
    <row r="15" spans="1:3" x14ac:dyDescent="0.25">
      <c r="A15" s="1" t="s">
        <v>92</v>
      </c>
      <c r="B15" s="1" t="s">
        <v>96</v>
      </c>
      <c r="C15" s="22" t="str">
        <f>IF(NOT(ATTR_QUALEVENT_INPUT_COMPLETE_FLG),"Complete All Inputs on 'Qualifying Event' Tab",
INDEX(TBL_LOOKUP_EVENTS[QUAL_EVENT_NEXT_STEP],MATCH(ATTR_EVENT_TYPE_SELECTED_DESC,TBL_LOOKUP_EVENTS[EVENT_TYPE_DESC],0)))</f>
        <v>Complete All Inputs on 'Qualifying Event' Tab</v>
      </c>
    </row>
    <row r="16" spans="1:3" x14ac:dyDescent="0.25">
      <c r="A16" s="1" t="s">
        <v>94</v>
      </c>
      <c r="B16" s="1" t="s">
        <v>95</v>
      </c>
      <c r="C16" s="22" t="str" cm="1">
        <f t="array" ref="C16">IF(NOT(ATTR_QUALEVENT_INPUT_COMPLETE_FLG),"",TEXT(INDEX(TBL_LOOKUP_EVENTS[QUAL_EVENT_NEXT_STEP_TARGET],MATCH(ATTR_EVENT_TYPE_SELECTED_DESC,TBL_LOOKUP_EVENTS[EVENT_TYPE_DESC],0),),""))</f>
        <v/>
      </c>
    </row>
    <row r="17" spans="1:3" x14ac:dyDescent="0.25">
      <c r="A17" s="1" t="s">
        <v>70</v>
      </c>
      <c r="B17" s="1" t="s">
        <v>72</v>
      </c>
      <c r="C17" s="21" t="b">
        <f>IF(NOT(ATTR_QUALEVENT_INPUT_COMPLETE_FLG),FALSE,INDEX(TBL_LOOKUP_EVENTS[PROXY_REQUIRED_FLAG],MATCH(ATTR_EVENT_TYPE_SELECTED_DESC,TBL_LOOKUP_EVENTS[EVENT_TYPE_DESC],0)))</f>
        <v>0</v>
      </c>
    </row>
    <row r="18" spans="1:3" x14ac:dyDescent="0.25">
      <c r="A18" s="1" t="s">
        <v>79</v>
      </c>
      <c r="B18" s="1" t="s">
        <v>80</v>
      </c>
      <c r="C18" s="21" t="str">
        <f>UI_PROXY_CALC_RESULT</f>
        <v/>
      </c>
    </row>
    <row r="19" spans="1:3" x14ac:dyDescent="0.25">
      <c r="A19" s="1" t="s">
        <v>101</v>
      </c>
      <c r="B19" s="1" t="s">
        <v>152</v>
      </c>
      <c r="C19" s="21" t="b">
        <f>AND(ATTR_PROXY_INPUT_REQUIRED_FLG,Proxy!TARGET_TOP&lt;&gt;"",UI_SALES_PRICE&lt;&gt;"",Proxy!C9&lt;&gt;"",UI_HUD_DATA_DATE&lt;&gt;"",UI_HUD_VALUE_LIMIT&lt;&gt;"")</f>
        <v>0</v>
      </c>
    </row>
    <row r="20" spans="1:3" x14ac:dyDescent="0.25">
      <c r="A20" s="1" t="s">
        <v>97</v>
      </c>
      <c r="B20" s="1" t="s">
        <v>98</v>
      </c>
      <c r="C20" s="21" t="str">
        <f>IF(ATTR_PROXY_INPUT_REQUIRED_FLG=FALSE,"",IF(NOT(ATTR_PROXY_INPUT_COMPLETE_FLG),"Complete All Inputs on 'Proxy' Tab",IF(ATTR_PROXY_INPUT_CALC_RESULTS&gt;0,"Proceed to Repayment Tab","No Recapture Necessary")))</f>
        <v/>
      </c>
    </row>
    <row r="21" spans="1:3" x14ac:dyDescent="0.25">
      <c r="A21" s="1" t="s">
        <v>99</v>
      </c>
      <c r="B21" s="1" t="s">
        <v>100</v>
      </c>
      <c r="C21" s="21" t="str">
        <f>IF(OR(ATTR_PROXY_INPUT_REQUIRED_FLG=FALSE,ATTR_PROXY_INPUT_COMPLETE_FLG=FALSE),"",IF(ATTR_PROXY_INPUT_CALC_RESULTS&gt;0,"Repayment",""))</f>
        <v/>
      </c>
    </row>
    <row r="22" spans="1:3" x14ac:dyDescent="0.25">
      <c r="A22" s="1" t="s">
        <v>71</v>
      </c>
      <c r="B22" s="1" t="s">
        <v>73</v>
      </c>
      <c r="C22" s="21" t="b">
        <f>OR(ATTR_PROXY_INPUT_NEXT_STEP_TARGET="Repayment",ATTR_QUALEVENT_NEXT_STEP_TARGET="Repayment")</f>
        <v>0</v>
      </c>
    </row>
    <row r="23" spans="1:3" x14ac:dyDescent="0.25">
      <c r="A23" s="1" t="s">
        <v>104</v>
      </c>
      <c r="B23" s="1" t="s">
        <v>183</v>
      </c>
      <c r="C23" s="21" t="b">
        <f>AND(ATTR_REPAYMENT_INPUT_REQUIRED_FLG,UI_ORIGINAL_BORROWER_NAME&lt;&gt;"",
OR(
AND(UI_SUBSIDY_PRO_RATA_REMAINING_CALC&lt;&gt;"",UI_NETPROCEEDS_MINUS_INVESTMENT_RESULT&lt;&gt;""),
AND(UI_SUBSIDY_PRO_RATA_REMAINING_CALC&lt;&gt;"",UI_SUBSIDY_PRO_RATA_REMAINING_CALC&lt;=2500)
))</f>
        <v>0</v>
      </c>
    </row>
    <row r="24" spans="1:3" x14ac:dyDescent="0.25">
      <c r="A24" s="1" t="s">
        <v>105</v>
      </c>
      <c r="B24" s="1" t="s">
        <v>109</v>
      </c>
      <c r="C24" s="21" t="str">
        <f>IF(UI_SUBSIDY_PRO_RATA_REMAINING_CALC="","",UI_SUBSIDY_PRO_RATA_REMAINING_CALC)</f>
        <v/>
      </c>
    </row>
    <row r="25" spans="1:3" x14ac:dyDescent="0.25">
      <c r="A25" s="1" t="s">
        <v>106</v>
      </c>
      <c r="B25" s="1" t="s">
        <v>184</v>
      </c>
      <c r="C25" s="21" t="str">
        <f>IF(UI_NETPROCEEDS_MINUS_INVESTMENT_RESULT&lt;&gt;"",UI_NETPROCEEDS_MINUS_INVESTMENT_RESULT,"")</f>
        <v/>
      </c>
    </row>
    <row r="26" spans="1:3" x14ac:dyDescent="0.25">
      <c r="A26" s="1" t="s">
        <v>107</v>
      </c>
      <c r="B26" s="1" t="s">
        <v>110</v>
      </c>
      <c r="C26" s="21" t="str">
        <f>IF(AND(ATTR_REPAYMENT_INPUT_REQUIRED_FLG,ATTR_REPAYMENT_INPUT_COMPLETE_FLG),MIN(ATTR_REPAYMENT_INPUT_CALC_RESULTS_PRORATA,REPAYMENT_INPUT_CALC_RESULTS_NETPROCEEDS),"")</f>
        <v/>
      </c>
    </row>
    <row r="27" spans="1:3" x14ac:dyDescent="0.25">
      <c r="A27" s="1" t="s">
        <v>108</v>
      </c>
      <c r="B27" s="1" t="s">
        <v>111</v>
      </c>
      <c r="C27" s="21" t="str">
        <f>IF(AND(ATTR_REPAYMENT_INPUT_REQUIRED_FLG,ATTR_REPAYMENT_INPUT_COMPLETE_FLG),IF(REPAYMENT_INPUT_CALC_RESULTS_LESSER&lt;=2500,"No Recapture Necesssary",TEXT(REPAYMENT_INPUT_CALC_RESULTS_LESSER,"$#,###.00")),IF(ATTR_REPAYMENT_INPUT_REQUIRED_FLG,"Complete All Inputs on 'Repayment' Tab",""))</f>
        <v/>
      </c>
    </row>
    <row r="28" spans="1:3" x14ac:dyDescent="0.25">
      <c r="A28" s="1" t="s">
        <v>153</v>
      </c>
      <c r="B28" s="1" t="s">
        <v>154</v>
      </c>
      <c r="C28" s="21" t="str">
        <f>IF(ATTR_PROXY_INPUT_REQUIRED_FLG,"1. Proxy Test",IF(ATTR_QUALEVENT_INPUT_COMPLETE_FLG,"Proxy Test is Not Required","Please Complete Prior Steps to Determine if Proxy Test is Required"))</f>
        <v>Please Complete Prior Steps to Determine if Proxy Test is Required</v>
      </c>
    </row>
    <row r="29" spans="1:3" x14ac:dyDescent="0.25">
      <c r="A29" s="1" t="s">
        <v>155</v>
      </c>
      <c r="B29" s="1" t="s">
        <v>156</v>
      </c>
      <c r="C29" s="21" t="b">
        <f>LEFT(ATTR_LABEL_PROXYTEST_HEADER,2)&lt;&gt;"1."</f>
        <v>1</v>
      </c>
    </row>
    <row r="30" spans="1:3" x14ac:dyDescent="0.25">
      <c r="A30" s="1" t="s">
        <v>157</v>
      </c>
      <c r="B30" s="1" t="s">
        <v>159</v>
      </c>
      <c r="C30" s="21" t="str">
        <f>IF(ATTR_REPAYMENT_INPUT_REQUIRED_FLG,"1. Event Type",
IF(AND(ATTR_QUALEVENT_INPUT_COMPLETE_FLG,OR(NOT(ATTR_PROXY_INPUT_REQUIRED_FLG),AND(ATTR_PROXY_INPUT_REQUIRED_FLG,ATTR_PROXY_INPUT_COMPLETE_FLG))),"Repayment Calculation is Not Required","Please Complete Prior Steps to Determine if Repayment Calculation is Required"))</f>
        <v>Please Complete Prior Steps to Determine if Repayment Calculation is Required</v>
      </c>
    </row>
    <row r="31" spans="1:3" x14ac:dyDescent="0.25">
      <c r="A31" s="1" t="s">
        <v>158</v>
      </c>
      <c r="B31" s="1" t="s">
        <v>160</v>
      </c>
      <c r="C31" s="21" t="b">
        <f>LEFT(C30,2)&lt;&gt;"1."</f>
        <v>1</v>
      </c>
    </row>
  </sheetData>
  <sheetProtection algorithmName="SHA-512" hashValue="qEZqtZVAiRC2CCD/9hxfNQ+B5jZPhbIhIiL7G8zjSJztdp2oX2MkZf85hPxVv5ZtzhtPFZBObVIZJ5DrbdCx3A==" saltValue="G1ScEtD9QIjHPCaB2AdGwQ==" spinCount="100000" sheet="1" objects="1" scenarios="1"/>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81</vt:i4>
      </vt:variant>
    </vt:vector>
  </HeadingPairs>
  <TitlesOfParts>
    <vt:vector size="88" baseType="lpstr">
      <vt:lpstr>Instructions</vt:lpstr>
      <vt:lpstr>Qualifying Event</vt:lpstr>
      <vt:lpstr>Proxy</vt:lpstr>
      <vt:lpstr>Repayment</vt:lpstr>
      <vt:lpstr>$DB.CONFIG</vt:lpstr>
      <vt:lpstr>$DB.LOOKUP</vt:lpstr>
      <vt:lpstr>$DB.DATA</vt:lpstr>
      <vt:lpstr>ATTR_EVENT_TYPE_SELECTED_DESC</vt:lpstr>
      <vt:lpstr>ATTR_EVENT_TYPE_SHORT_TEXT</vt:lpstr>
      <vt:lpstr>ATTR_LABEL_NETPROCEEDS_A</vt:lpstr>
      <vt:lpstr>ATTR_LABEL_NETPROCEEDS_B</vt:lpstr>
      <vt:lpstr>ATTR_LABEL_NETPROCEEDS_C</vt:lpstr>
      <vt:lpstr>ATTR_LABEL_NETPROCEEDS_D</vt:lpstr>
      <vt:lpstr>ATTR_LABEL_PROJTYPE_ADDRESS</vt:lpstr>
      <vt:lpstr>ATTR_LABEL_PROJTYPE_NAME</vt:lpstr>
      <vt:lpstr>ATTR_LABEL_PROJTYPE_NUMBER</vt:lpstr>
      <vt:lpstr>ATTR_LABEL_PROXYTEST_HEADER</vt:lpstr>
      <vt:lpstr>ATTR_LABEL_PROXYTEST_HEADER_WARNING_FLG</vt:lpstr>
      <vt:lpstr>ATTR_LABEL_REPAYMENT_HEADER</vt:lpstr>
      <vt:lpstr>ATTR_LABEL_REPAYMENT_HEADER_WARNING_FLG</vt:lpstr>
      <vt:lpstr>ATTR_PROGRAM_TYPE_SELECTED_DESC</vt:lpstr>
      <vt:lpstr>ATTR_PROXY_INPUT_CALC_RESULTS</vt:lpstr>
      <vt:lpstr>ATTR_PROXY_INPUT_COMPLETE_FLG</vt:lpstr>
      <vt:lpstr>ATTR_PROXY_INPUT_NEXT_STEP</vt:lpstr>
      <vt:lpstr>ATTR_PROXY_INPUT_NEXT_STEP_TARGET</vt:lpstr>
      <vt:lpstr>ATTR_PROXY_INPUT_REQUIRED_FLG</vt:lpstr>
      <vt:lpstr>ATTR_QUALEVENT_INPUT_COMPLETE_FLG</vt:lpstr>
      <vt:lpstr>ATTR_QUALEVENT_NEXT_STEP</vt:lpstr>
      <vt:lpstr>ATTR_QUALEVENT_NEXT_STEP_TARGET</vt:lpstr>
      <vt:lpstr>ATTR_REPAYMENT_INPUT_AMOUNT_TO_REPAY</vt:lpstr>
      <vt:lpstr>ATTR_REPAYMENT_INPUT_CALC_RESULTS_PRORATA</vt:lpstr>
      <vt:lpstr>ATTR_REPAYMENT_INPUT_COMPLETE_FLG</vt:lpstr>
      <vt:lpstr>ATTR_REPAYMENT_INPUT_REQUIRED_FLG</vt:lpstr>
      <vt:lpstr>CONFIG_EFORM_REVISION_DATE</vt:lpstr>
      <vt:lpstr>CONFIG_EFORM_REVISION_DISPLAY</vt:lpstr>
      <vt:lpstr>CONFIG_EFORM_TITLE</vt:lpstr>
      <vt:lpstr>CONFIG_EFORM_VERSION_NO</vt:lpstr>
      <vt:lpstr>DELETEME</vt:lpstr>
      <vt:lpstr>DELETEME2</vt:lpstr>
      <vt:lpstr>QUALEVENT_LINK_NEXT_STEP</vt:lpstr>
      <vt:lpstr>RANGE_LOOKUP_EVENT_TYPE_DESC</vt:lpstr>
      <vt:lpstr>RANGE_LOOKUP_NUM_UNITS_DESC</vt:lpstr>
      <vt:lpstr>RANGE_LOOKUP_PROGRAM_TYPE_DESC</vt:lpstr>
      <vt:lpstr>REPAYMENT_INPUT_AMOUNT_TO_REPAY</vt:lpstr>
      <vt:lpstr>REPAYMENT_INPUT_CALC_RESULTS_LESSER</vt:lpstr>
      <vt:lpstr>REPAYMENT_INPUT_CALC_RESULTS_NETPROCEEDS</vt:lpstr>
      <vt:lpstr>Proxy!TARGET_TOP</vt:lpstr>
      <vt:lpstr>'Qualifying Event'!TARGET_TOP</vt:lpstr>
      <vt:lpstr>Repayment!TARGET_TOP</vt:lpstr>
      <vt:lpstr>UI_AHP_SUBSIDY_AMOUNT_DISBURSED</vt:lpstr>
      <vt:lpstr>UI_EMAIL_ADDRESS</vt:lpstr>
      <vt:lpstr>UI_EVENT_TYPE</vt:lpstr>
      <vt:lpstr>UI_HSEHLDINVEST_CAPITAL_IMPROVEMENTS</vt:lpstr>
      <vt:lpstr>UI_HSEHLDINVEST_CLOSING_COSTS</vt:lpstr>
      <vt:lpstr>UI_HSEHLDINVEST_DOWNPAYMENT</vt:lpstr>
      <vt:lpstr>UI_HSEHLDINVEST_ELIGIBLE_CLOSING_COSTS</vt:lpstr>
      <vt:lpstr>UI_HSEHLDINVEST_ESCROWS</vt:lpstr>
      <vt:lpstr>UI_HSEHLDINVEST_OTHERIECOSTS</vt:lpstr>
      <vt:lpstr>UI_HSEHLDINVEST_PREPAIDS</vt:lpstr>
      <vt:lpstr>UI_HSEHLDINVEST_TOTAL</vt:lpstr>
      <vt:lpstr>UI_HSEHLDINVEST_TOTAL_PRIN_PAYMENTS</vt:lpstr>
      <vt:lpstr>UI_HUD_DATA_DATE</vt:lpstr>
      <vt:lpstr>UI_HUD_VALUE_LIMIT</vt:lpstr>
      <vt:lpstr>UI_MEMBER_NAME</vt:lpstr>
      <vt:lpstr>UI_NETPROCEEDS_CLOSING_COSTS</vt:lpstr>
      <vt:lpstr>UI_NETPROCEEDS_ELIGIBLE_CLOSING_COSTS</vt:lpstr>
      <vt:lpstr>UI_NETPROCEEDS_ESCROWS</vt:lpstr>
      <vt:lpstr>UI_NETPROCEEDS_MINUS_INVESTMENT_RESULT</vt:lpstr>
      <vt:lpstr>UI_NETPROCEEDS_OTHERIECOSTS</vt:lpstr>
      <vt:lpstr>UI_NETPROCEEDS_OUTSTANDING_DEBT</vt:lpstr>
      <vt:lpstr>UI_NETPROCEEDS_PREPAIDS</vt:lpstr>
      <vt:lpstr>UI_NETPROCEEDS_SALES_PRICE</vt:lpstr>
      <vt:lpstr>UI_NETPROCEEDS_TOTAL</vt:lpstr>
      <vt:lpstr>UI_NONCOMPLIANCE_DATE</vt:lpstr>
      <vt:lpstr>UI_NUMBER_UNITS</vt:lpstr>
      <vt:lpstr>UI_ORIGINAL_BORROWER_NAME</vt:lpstr>
      <vt:lpstr>UI_ORIGINAL_LOAN_CLOSING_DATE</vt:lpstr>
      <vt:lpstr>UI_PREPARED_BY</vt:lpstr>
      <vt:lpstr>UI_PROGRAM_TYPE</vt:lpstr>
      <vt:lpstr>UI_PROJECT_HOUSEHOLD_ID</vt:lpstr>
      <vt:lpstr>UI_PROJECT_HOUSEHOLD_NAME</vt:lpstr>
      <vt:lpstr>UI_PROPERTY_CITY_STATE_ZIP</vt:lpstr>
      <vt:lpstr>UI_PROPERTY_STREET_ADDRESS</vt:lpstr>
      <vt:lpstr>UI_PROXY_CALC_RESULT</vt:lpstr>
      <vt:lpstr>UI_SALES_PRICE</vt:lpstr>
      <vt:lpstr>UI_SUBSIDY_PRO_RATA_REDUCTION_CALC</vt:lpstr>
      <vt:lpstr>UI_SUBSIDY_PRO_RATA_REMAINING_CALC</vt:lpstr>
      <vt:lpstr>UI_TELEPHONE_NUMBER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Jeff LeSauvage</dc:creator>
  <cp:lastModifiedBy>Jeff LeSauvage</cp:lastModifiedBy>
  <cp:lastPrinted>2020-12-04T01:41:32Z</cp:lastPrinted>
  <dcterms:created xsi:type="dcterms:W3CDTF">2015-06-05T18:17:20Z</dcterms:created>
  <dcterms:modified xsi:type="dcterms:W3CDTF">2021-11-16T18:49:24Z</dcterms:modified>
</cp:coreProperties>
</file>